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Melanieht\Documents\IBERO\5° semestre\Costos\ARCHIVO FINAL\"/>
    </mc:Choice>
  </mc:AlternateContent>
  <xr:revisionPtr revIDLastSave="0" documentId="13_ncr:1_{F9392B0B-62CE-45BB-8AEA-65438C9A1EC2}" xr6:coauthVersionLast="38" xr6:coauthVersionMax="38" xr10:uidLastSave="{00000000-0000-0000-0000-000000000000}"/>
  <bookViews>
    <workbookView xWindow="0" yWindow="0" windowWidth="23040" windowHeight="9144" tabRatio="737" activeTab="1" xr2:uid="{00000000-000D-0000-FFFF-FFFF00000000}"/>
  </bookViews>
  <sheets>
    <sheet name="P.UNIT" sheetId="1" r:id="rId1"/>
    <sheet name="PRESUPUESTO" sheetId="8" r:id="rId2"/>
    <sheet name="CATÁLOGO" sheetId="6" r:id="rId3"/>
    <sheet name="OPERACIONES" sheetId="7" r:id="rId4"/>
    <sheet name="MATERIALES" sheetId="4" r:id="rId5"/>
    <sheet name="AUXILIARES" sheetId="2" r:id="rId6"/>
    <sheet name="ANÁLISIS CUADRILLAS" sheetId="3" r:id="rId7"/>
    <sheet name="ANÁLISIS DE COSTO HORARIO" sheetId="5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8" i="8" l="1"/>
  <c r="F108" i="8" s="1"/>
  <c r="E107" i="8"/>
  <c r="F107" i="8" s="1"/>
  <c r="E155" i="6"/>
  <c r="E154" i="6"/>
  <c r="E166" i="8"/>
  <c r="F166" i="8" s="1"/>
  <c r="E165" i="8"/>
  <c r="F165" i="8" s="1"/>
  <c r="E103" i="6"/>
  <c r="E104" i="6"/>
  <c r="E110" i="8"/>
  <c r="F110" i="8" s="1"/>
  <c r="E109" i="8"/>
  <c r="F109" i="8" s="1"/>
  <c r="E153" i="8"/>
  <c r="F153" i="8" s="1"/>
  <c r="E27" i="8"/>
  <c r="F27" i="8" s="1"/>
  <c r="E27" i="6"/>
  <c r="E28" i="6"/>
  <c r="F155" i="8" l="1"/>
  <c r="F156" i="8"/>
  <c r="F157" i="8"/>
  <c r="F26" i="8"/>
  <c r="F13" i="8"/>
  <c r="F14" i="8"/>
  <c r="E167" i="8"/>
  <c r="F167" i="8" s="1"/>
  <c r="F168" i="8" s="1"/>
  <c r="E159" i="8"/>
  <c r="F159" i="8" s="1"/>
  <c r="E158" i="8"/>
  <c r="F158" i="8" s="1"/>
  <c r="E154" i="8"/>
  <c r="F154" i="8" s="1"/>
  <c r="E152" i="8"/>
  <c r="F152" i="8" s="1"/>
  <c r="E131" i="8"/>
  <c r="F131" i="8" s="1"/>
  <c r="E130" i="8"/>
  <c r="F130" i="8" s="1"/>
  <c r="F132" i="8" s="1"/>
  <c r="E127" i="8"/>
  <c r="F127" i="8" s="1"/>
  <c r="E126" i="8"/>
  <c r="F126" i="8" s="1"/>
  <c r="E125" i="8"/>
  <c r="F125" i="8" s="1"/>
  <c r="E122" i="8"/>
  <c r="F122" i="8" s="1"/>
  <c r="E121" i="8"/>
  <c r="F121" i="8" s="1"/>
  <c r="E120" i="8"/>
  <c r="F120" i="8" s="1"/>
  <c r="E119" i="8"/>
  <c r="F119" i="8" s="1"/>
  <c r="E118" i="8"/>
  <c r="F118" i="8" s="1"/>
  <c r="E117" i="8"/>
  <c r="F117" i="8" s="1"/>
  <c r="E116" i="8"/>
  <c r="F116" i="8" s="1"/>
  <c r="E115" i="8"/>
  <c r="F115" i="8" s="1"/>
  <c r="E114" i="8"/>
  <c r="F114" i="8" s="1"/>
  <c r="E113" i="8"/>
  <c r="F113" i="8" s="1"/>
  <c r="E106" i="8"/>
  <c r="F106" i="8" s="1"/>
  <c r="E105" i="8"/>
  <c r="F105" i="8" s="1"/>
  <c r="E104" i="8"/>
  <c r="F104" i="8" s="1"/>
  <c r="E100" i="8"/>
  <c r="F100" i="8" s="1"/>
  <c r="E99" i="8"/>
  <c r="F99" i="8" s="1"/>
  <c r="E96" i="8"/>
  <c r="F96" i="8" s="1"/>
  <c r="E95" i="8"/>
  <c r="F95" i="8" s="1"/>
  <c r="E94" i="8"/>
  <c r="F94" i="8" s="1"/>
  <c r="E93" i="8"/>
  <c r="F93" i="8" s="1"/>
  <c r="E57" i="8"/>
  <c r="F57" i="8" s="1"/>
  <c r="E56" i="8"/>
  <c r="F56" i="8" s="1"/>
  <c r="E55" i="8"/>
  <c r="F55" i="8" s="1"/>
  <c r="E54" i="8"/>
  <c r="F54" i="8" s="1"/>
  <c r="E53" i="8"/>
  <c r="F53" i="8" s="1"/>
  <c r="E52" i="8"/>
  <c r="F52" i="8" s="1"/>
  <c r="E49" i="8"/>
  <c r="F49" i="8" s="1"/>
  <c r="E48" i="8"/>
  <c r="F48" i="8" s="1"/>
  <c r="E47" i="8"/>
  <c r="F47" i="8" s="1"/>
  <c r="E46" i="8"/>
  <c r="F46" i="8" s="1"/>
  <c r="E45" i="8"/>
  <c r="F45" i="8" s="1"/>
  <c r="E42" i="8"/>
  <c r="F42" i="8" s="1"/>
  <c r="E41" i="8"/>
  <c r="F41" i="8" s="1"/>
  <c r="E40" i="8"/>
  <c r="F40" i="8" s="1"/>
  <c r="E39" i="8"/>
  <c r="F39" i="8" s="1"/>
  <c r="E38" i="8"/>
  <c r="F38" i="8" s="1"/>
  <c r="E37" i="8"/>
  <c r="F37" i="8" s="1"/>
  <c r="E36" i="8"/>
  <c r="F36" i="8" s="1"/>
  <c r="E35" i="8"/>
  <c r="F35" i="8" s="1"/>
  <c r="E34" i="8"/>
  <c r="F34" i="8" s="1"/>
  <c r="E33" i="8"/>
  <c r="F33" i="8" s="1"/>
  <c r="E30" i="8"/>
  <c r="F30" i="8" s="1"/>
  <c r="E29" i="8"/>
  <c r="F29" i="8" s="1"/>
  <c r="E28" i="8"/>
  <c r="F28" i="8" s="1"/>
  <c r="E25" i="8"/>
  <c r="F25" i="8" s="1"/>
  <c r="E24" i="8"/>
  <c r="F24" i="8" s="1"/>
  <c r="E23" i="8"/>
  <c r="F23" i="8" s="1"/>
  <c r="E16" i="8"/>
  <c r="F16" i="8" s="1"/>
  <c r="E15" i="8"/>
  <c r="F15" i="8" s="1"/>
  <c r="E12" i="8"/>
  <c r="F12" i="8" s="1"/>
  <c r="E9" i="8"/>
  <c r="F9" i="8" s="1"/>
  <c r="E8" i="8"/>
  <c r="F8" i="8" s="1"/>
  <c r="E7" i="8"/>
  <c r="F7" i="8" s="1"/>
  <c r="E6" i="8"/>
  <c r="F6" i="8" s="1"/>
  <c r="E5" i="8"/>
  <c r="F5" i="8" s="1"/>
  <c r="F123" i="8" l="1"/>
  <c r="F101" i="8"/>
  <c r="F111" i="8"/>
  <c r="F10" i="8"/>
  <c r="F160" i="8"/>
  <c r="F31" i="8"/>
  <c r="F58" i="8"/>
  <c r="F43" i="8"/>
  <c r="F50" i="8"/>
  <c r="F128" i="8"/>
  <c r="F97" i="8"/>
  <c r="E97" i="6"/>
  <c r="E96" i="6"/>
  <c r="F172" i="8" l="1"/>
  <c r="J137" i="2"/>
  <c r="M136" i="2"/>
  <c r="F173" i="8" l="1"/>
  <c r="F174" i="8" s="1"/>
  <c r="AN6" i="1"/>
  <c r="AO6" i="1" s="1"/>
  <c r="AN7" i="1"/>
  <c r="AM7" i="1"/>
  <c r="AM16" i="1"/>
  <c r="AN188" i="1"/>
  <c r="AN189" i="1"/>
  <c r="AM198" i="1"/>
  <c r="B55" i="7"/>
  <c r="C55" i="7" s="1"/>
  <c r="D55" i="7" s="1"/>
  <c r="E55" i="7" s="1"/>
  <c r="AM189" i="1" s="1"/>
  <c r="AO189" i="1" s="1"/>
  <c r="AM188" i="1"/>
  <c r="AO188" i="1" s="1"/>
  <c r="AM208" i="1"/>
  <c r="AO212" i="1"/>
  <c r="AO215" i="1" s="1"/>
  <c r="F175" i="8" l="1"/>
  <c r="F176" i="8" s="1"/>
  <c r="AO195" i="1"/>
  <c r="AO7" i="1"/>
  <c r="AO13" i="1"/>
  <c r="CD476" i="1"/>
  <c r="CD475" i="1"/>
  <c r="CE475" i="1" s="1"/>
  <c r="CD474" i="1"/>
  <c r="CE474" i="1" s="1"/>
  <c r="CE501" i="1"/>
  <c r="CC484" i="1"/>
  <c r="CC476" i="1"/>
  <c r="R484" i="1"/>
  <c r="K484" i="1"/>
  <c r="BA484" i="1"/>
  <c r="AT484" i="1"/>
  <c r="AF484" i="1"/>
  <c r="AM484" i="1"/>
  <c r="Y484" i="1"/>
  <c r="Y499" i="1" s="1"/>
  <c r="K83" i="3"/>
  <c r="E83" i="3" s="1"/>
  <c r="D83" i="3"/>
  <c r="K82" i="3"/>
  <c r="K81" i="3"/>
  <c r="E81" i="3" s="1"/>
  <c r="F81" i="3" s="1"/>
  <c r="D667" i="1"/>
  <c r="K76" i="3"/>
  <c r="E76" i="3" s="1"/>
  <c r="D76" i="3"/>
  <c r="K75" i="3"/>
  <c r="E82" i="3" s="1"/>
  <c r="F82" i="3" s="1"/>
  <c r="K74" i="3"/>
  <c r="E74" i="3" s="1"/>
  <c r="F74" i="3" s="1"/>
  <c r="K667" i="1"/>
  <c r="F177" i="8" l="1"/>
  <c r="F178" i="8" s="1"/>
  <c r="F179" i="8" s="1"/>
  <c r="F180" i="8" s="1"/>
  <c r="CE476" i="1"/>
  <c r="CE481" i="1" s="1"/>
  <c r="F83" i="3"/>
  <c r="F84" i="3"/>
  <c r="F76" i="3"/>
  <c r="BW453" i="1"/>
  <c r="BW452" i="1"/>
  <c r="BV454" i="1"/>
  <c r="BV455" i="1"/>
  <c r="BV453" i="1"/>
  <c r="BV452" i="1"/>
  <c r="BX453" i="1" l="1"/>
  <c r="AN484" i="1"/>
  <c r="Z484" i="1"/>
  <c r="BX452" i="1"/>
  <c r="BV435" i="1"/>
  <c r="BW426" i="1"/>
  <c r="BV426" i="1"/>
  <c r="BW425" i="1"/>
  <c r="CC452" i="1"/>
  <c r="CC446" i="1"/>
  <c r="CC435" i="1"/>
  <c r="CE432" i="1"/>
  <c r="L658" i="1"/>
  <c r="E658" i="1"/>
  <c r="D658" i="1"/>
  <c r="K658" i="1"/>
  <c r="D657" i="1"/>
  <c r="K657" i="1"/>
  <c r="E657" i="1"/>
  <c r="L657" i="1"/>
  <c r="M684" i="1"/>
  <c r="F684" i="1"/>
  <c r="C52" i="7"/>
  <c r="B52" i="7"/>
  <c r="D52" i="7" s="1"/>
  <c r="E52" i="7" s="1"/>
  <c r="BW477" i="1"/>
  <c r="BP477" i="1"/>
  <c r="BW476" i="1"/>
  <c r="BW475" i="1"/>
  <c r="BW474" i="1"/>
  <c r="BV477" i="1"/>
  <c r="BO477" i="1"/>
  <c r="B47" i="7"/>
  <c r="B43" i="7"/>
  <c r="BB477" i="1"/>
  <c r="AU477" i="1"/>
  <c r="BB476" i="1"/>
  <c r="AU476" i="1"/>
  <c r="AU475" i="1"/>
  <c r="BB475" i="1"/>
  <c r="BB474" i="1"/>
  <c r="AU474" i="1"/>
  <c r="AT498" i="1"/>
  <c r="AT477" i="1"/>
  <c r="AT476" i="1"/>
  <c r="BW484" i="1"/>
  <c r="BV484" i="1"/>
  <c r="BV476" i="1"/>
  <c r="BV475" i="1"/>
  <c r="BX475" i="1" s="1"/>
  <c r="BV474" i="1"/>
  <c r="BA498" i="1"/>
  <c r="BA477" i="1"/>
  <c r="BA476" i="1"/>
  <c r="AM499" i="1"/>
  <c r="AM498" i="1"/>
  <c r="AN474" i="1"/>
  <c r="AN498" i="1"/>
  <c r="AM474" i="1"/>
  <c r="Y498" i="1"/>
  <c r="Z474" i="1"/>
  <c r="Y474" i="1"/>
  <c r="S474" i="1"/>
  <c r="L474" i="1"/>
  <c r="R474" i="1"/>
  <c r="K474" i="1"/>
  <c r="R476" i="1"/>
  <c r="K476" i="1"/>
  <c r="L476" i="1"/>
  <c r="S476" i="1"/>
  <c r="S475" i="1"/>
  <c r="R475" i="1"/>
  <c r="L475" i="1"/>
  <c r="K475" i="1"/>
  <c r="AO474" i="1" l="1"/>
  <c r="AO481" i="1" s="1"/>
  <c r="BC477" i="1"/>
  <c r="AV477" i="1"/>
  <c r="M476" i="1"/>
  <c r="M474" i="1"/>
  <c r="F658" i="1"/>
  <c r="M658" i="1"/>
  <c r="BV498" i="1"/>
  <c r="BO498" i="1"/>
  <c r="AV476" i="1"/>
  <c r="BQ477" i="1"/>
  <c r="M657" i="1"/>
  <c r="BX426" i="1"/>
  <c r="BX484" i="1"/>
  <c r="BW489" i="1" s="1"/>
  <c r="BX489" i="1" s="1"/>
  <c r="BX490" i="1" s="1"/>
  <c r="BX477" i="1"/>
  <c r="F657" i="1"/>
  <c r="AA474" i="1"/>
  <c r="AA481" i="1" s="1"/>
  <c r="AO498" i="1"/>
  <c r="BX476" i="1"/>
  <c r="BX474" i="1"/>
  <c r="B48" i="7"/>
  <c r="B49" i="7" s="1"/>
  <c r="C49" i="7" s="1"/>
  <c r="BA475" i="1" s="1"/>
  <c r="BC475" i="1" s="1"/>
  <c r="C47" i="7"/>
  <c r="B44" i="7"/>
  <c r="B45" i="7" s="1"/>
  <c r="C45" i="7" s="1"/>
  <c r="AT475" i="1" s="1"/>
  <c r="AV475" i="1" s="1"/>
  <c r="C43" i="7"/>
  <c r="BC476" i="1"/>
  <c r="AO484" i="1"/>
  <c r="AN493" i="1" s="1"/>
  <c r="AO493" i="1" s="1"/>
  <c r="AO495" i="1" s="1"/>
  <c r="AO486" i="1"/>
  <c r="AA484" i="1"/>
  <c r="T474" i="1"/>
  <c r="T476" i="1"/>
  <c r="T475" i="1"/>
  <c r="M475" i="1"/>
  <c r="T501" i="1"/>
  <c r="M501" i="1"/>
  <c r="AU570" i="1"/>
  <c r="AV570" i="1" s="1"/>
  <c r="AU571" i="1"/>
  <c r="AU569" i="1"/>
  <c r="AU568" i="1"/>
  <c r="AU567" i="1"/>
  <c r="N41" i="7"/>
  <c r="O41" i="7"/>
  <c r="AT568" i="1" s="1"/>
  <c r="AT571" i="1"/>
  <c r="AT567" i="1"/>
  <c r="BO449" i="1"/>
  <c r="BO425" i="1"/>
  <c r="BP425" i="1"/>
  <c r="BO445" i="1"/>
  <c r="BO435" i="1"/>
  <c r="Z527" i="1"/>
  <c r="AG527" i="1"/>
  <c r="AN527" i="1"/>
  <c r="AN526" i="1"/>
  <c r="AG526" i="1"/>
  <c r="Z526" i="1"/>
  <c r="Z525" i="1"/>
  <c r="AG525" i="1"/>
  <c r="AN525" i="1"/>
  <c r="AN524" i="1"/>
  <c r="AG524" i="1"/>
  <c r="Z524" i="1"/>
  <c r="S523" i="1"/>
  <c r="Z523" i="1"/>
  <c r="AG523" i="1"/>
  <c r="AN523" i="1"/>
  <c r="AN522" i="1"/>
  <c r="AG522" i="1"/>
  <c r="Z522" i="1"/>
  <c r="Z521" i="1"/>
  <c r="AG521" i="1"/>
  <c r="AN521" i="1"/>
  <c r="AN520" i="1"/>
  <c r="AG520" i="1"/>
  <c r="Z520" i="1"/>
  <c r="AN519" i="1"/>
  <c r="AG519" i="1"/>
  <c r="Z519" i="1"/>
  <c r="AM526" i="1"/>
  <c r="AF526" i="1"/>
  <c r="AF522" i="1"/>
  <c r="AM522" i="1"/>
  <c r="AM523" i="1"/>
  <c r="AM519" i="1"/>
  <c r="AO549" i="1"/>
  <c r="AM532" i="1"/>
  <c r="AM527" i="1"/>
  <c r="AM525" i="1"/>
  <c r="AM524" i="1"/>
  <c r="AM521" i="1"/>
  <c r="AM520" i="1"/>
  <c r="Z613" i="1"/>
  <c r="AA613" i="1" s="1"/>
  <c r="Z612" i="1"/>
  <c r="AA612" i="1" s="1"/>
  <c r="AA639" i="1"/>
  <c r="Y622" i="1"/>
  <c r="S615" i="1"/>
  <c r="T615" i="1" s="1"/>
  <c r="S614" i="1"/>
  <c r="T614" i="1" s="1"/>
  <c r="S613" i="1"/>
  <c r="T613" i="1" s="1"/>
  <c r="S612" i="1"/>
  <c r="T612" i="1" s="1"/>
  <c r="T639" i="1"/>
  <c r="R622" i="1"/>
  <c r="L615" i="1"/>
  <c r="M615" i="1" s="1"/>
  <c r="L614" i="1"/>
  <c r="M614" i="1" s="1"/>
  <c r="L613" i="1"/>
  <c r="M613" i="1" s="1"/>
  <c r="L612" i="1"/>
  <c r="M481" i="1" l="1"/>
  <c r="D43" i="7"/>
  <c r="E43" i="7" s="1"/>
  <c r="AT474" i="1" s="1"/>
  <c r="AV474" i="1" s="1"/>
  <c r="AV481" i="1" s="1"/>
  <c r="M664" i="1"/>
  <c r="F664" i="1"/>
  <c r="AV571" i="1"/>
  <c r="BX486" i="1"/>
  <c r="AO519" i="1"/>
  <c r="AO521" i="1"/>
  <c r="BW493" i="1"/>
  <c r="BX493" i="1" s="1"/>
  <c r="BX495" i="1" s="1"/>
  <c r="AO527" i="1"/>
  <c r="AO525" i="1"/>
  <c r="D47" i="7"/>
  <c r="E47" i="7" s="1"/>
  <c r="BA474" i="1" s="1"/>
  <c r="BC474" i="1" s="1"/>
  <c r="BC481" i="1" s="1"/>
  <c r="AN489" i="1"/>
  <c r="AO489" i="1" s="1"/>
  <c r="AO490" i="1" s="1"/>
  <c r="BQ425" i="1"/>
  <c r="BQ432" i="1" s="1"/>
  <c r="BX481" i="1"/>
  <c r="Z493" i="1"/>
  <c r="AA493" i="1" s="1"/>
  <c r="AA495" i="1" s="1"/>
  <c r="Z489" i="1"/>
  <c r="AA489" i="1" s="1"/>
  <c r="AA490" i="1" s="1"/>
  <c r="AA486" i="1"/>
  <c r="T481" i="1"/>
  <c r="AO526" i="1"/>
  <c r="AO524" i="1"/>
  <c r="AO523" i="1"/>
  <c r="AO522" i="1"/>
  <c r="AO520" i="1"/>
  <c r="AA619" i="1"/>
  <c r="T619" i="1"/>
  <c r="AO529" i="1" l="1"/>
  <c r="M639" i="1" l="1"/>
  <c r="K622" i="1"/>
  <c r="M612" i="1"/>
  <c r="M619" i="1" l="1"/>
  <c r="E617" i="1"/>
  <c r="F617" i="1" s="1"/>
  <c r="E616" i="1"/>
  <c r="F616" i="1" s="1"/>
  <c r="E615" i="1"/>
  <c r="F615" i="1" s="1"/>
  <c r="E614" i="1"/>
  <c r="F614" i="1" s="1"/>
  <c r="E613" i="1"/>
  <c r="F613" i="1" s="1"/>
  <c r="F639" i="1"/>
  <c r="D622" i="1"/>
  <c r="E612" i="1"/>
  <c r="F612" i="1" s="1"/>
  <c r="AV594" i="1"/>
  <c r="AT577" i="1"/>
  <c r="AT569" i="1"/>
  <c r="AV569" i="1" s="1"/>
  <c r="AV568" i="1"/>
  <c r="AV567" i="1"/>
  <c r="BH452" i="1"/>
  <c r="BH453" i="1"/>
  <c r="BH451" i="1"/>
  <c r="BH450" i="1"/>
  <c r="BH449" i="1"/>
  <c r="BH445" i="1"/>
  <c r="BH435" i="1"/>
  <c r="BJ432" i="1"/>
  <c r="BY120" i="2"/>
  <c r="BY119" i="2"/>
  <c r="BY118" i="2"/>
  <c r="BY117" i="2"/>
  <c r="BY116" i="2"/>
  <c r="BY115" i="2"/>
  <c r="BY114" i="2"/>
  <c r="CC117" i="2"/>
  <c r="CC113" i="2"/>
  <c r="CD131" i="2"/>
  <c r="CC131" i="2"/>
  <c r="CD129" i="2"/>
  <c r="CC129" i="2"/>
  <c r="CD127" i="2"/>
  <c r="CC127" i="2"/>
  <c r="CD125" i="2"/>
  <c r="CC125" i="2"/>
  <c r="CD123" i="2"/>
  <c r="CC123" i="2"/>
  <c r="BW123" i="2"/>
  <c r="CD121" i="2"/>
  <c r="CC121" i="2"/>
  <c r="BW120" i="2"/>
  <c r="BZ120" i="2" s="1"/>
  <c r="CD119" i="2"/>
  <c r="CC119" i="2"/>
  <c r="BW119" i="2"/>
  <c r="BZ119" i="2" s="1"/>
  <c r="BW118" i="2"/>
  <c r="CD117" i="2"/>
  <c r="BW117" i="2"/>
  <c r="CD115" i="2"/>
  <c r="CC115" i="2"/>
  <c r="CD113" i="2"/>
  <c r="BA452" i="1"/>
  <c r="BA451" i="1"/>
  <c r="BA450" i="1"/>
  <c r="BA449" i="1"/>
  <c r="BA445" i="1"/>
  <c r="BA435" i="1"/>
  <c r="BC432" i="1"/>
  <c r="AT452" i="1"/>
  <c r="AT451" i="1"/>
  <c r="AT450" i="1"/>
  <c r="AT449" i="1"/>
  <c r="AT445" i="1"/>
  <c r="AT435" i="1"/>
  <c r="AV432" i="1"/>
  <c r="BG120" i="2"/>
  <c r="BG119" i="2"/>
  <c r="BG118" i="2"/>
  <c r="BG117" i="2"/>
  <c r="BG116" i="2"/>
  <c r="BG115" i="2"/>
  <c r="BG114" i="2"/>
  <c r="BL131" i="2"/>
  <c r="BK131" i="2"/>
  <c r="BL129" i="2"/>
  <c r="BK129" i="2"/>
  <c r="BL127" i="2"/>
  <c r="BK127" i="2"/>
  <c r="BL125" i="2"/>
  <c r="BK125" i="2"/>
  <c r="BM125" i="2" s="1"/>
  <c r="BO125" i="2" s="1"/>
  <c r="BQ125" i="2" s="1"/>
  <c r="BL123" i="2"/>
  <c r="BK123" i="2"/>
  <c r="BM123" i="2" s="1"/>
  <c r="BO123" i="2" s="1"/>
  <c r="BQ123" i="2" s="1"/>
  <c r="BE123" i="2"/>
  <c r="BL121" i="2"/>
  <c r="BK121" i="2"/>
  <c r="BE120" i="2"/>
  <c r="BL119" i="2"/>
  <c r="BK119" i="2"/>
  <c r="BE119" i="2"/>
  <c r="BE118" i="2"/>
  <c r="BL117" i="2"/>
  <c r="BK117" i="2"/>
  <c r="BE117" i="2"/>
  <c r="BH117" i="2" s="1"/>
  <c r="BL115" i="2"/>
  <c r="BK115" i="2"/>
  <c r="BL113" i="2"/>
  <c r="BK113" i="2"/>
  <c r="AM452" i="1"/>
  <c r="AM451" i="1"/>
  <c r="R405" i="1"/>
  <c r="AF451" i="1"/>
  <c r="AM449" i="1"/>
  <c r="AM450" i="1"/>
  <c r="AM445" i="1"/>
  <c r="AM435" i="1"/>
  <c r="AO432" i="1"/>
  <c r="AO120" i="2"/>
  <c r="AO119" i="2"/>
  <c r="AO118" i="2"/>
  <c r="AO117" i="2"/>
  <c r="AO116" i="2"/>
  <c r="AO115" i="2"/>
  <c r="AO114" i="2"/>
  <c r="AS113" i="2"/>
  <c r="AT131" i="2"/>
  <c r="AS131" i="2"/>
  <c r="AT129" i="2"/>
  <c r="AS129" i="2"/>
  <c r="AT127" i="2"/>
  <c r="AS127" i="2"/>
  <c r="AT125" i="2"/>
  <c r="AS125" i="2"/>
  <c r="AT123" i="2"/>
  <c r="AS123" i="2"/>
  <c r="AM123" i="2"/>
  <c r="AT121" i="2"/>
  <c r="AS121" i="2"/>
  <c r="AM120" i="2"/>
  <c r="AT119" i="2"/>
  <c r="AS119" i="2"/>
  <c r="AU119" i="2" s="1"/>
  <c r="AW119" i="2" s="1"/>
  <c r="AY119" i="2" s="1"/>
  <c r="AM119" i="2"/>
  <c r="AM118" i="2"/>
  <c r="AT117" i="2"/>
  <c r="AS117" i="2"/>
  <c r="AU117" i="2" s="1"/>
  <c r="AW117" i="2" s="1"/>
  <c r="AY117" i="2" s="1"/>
  <c r="AM117" i="2"/>
  <c r="AT115" i="2"/>
  <c r="AS115" i="2"/>
  <c r="AT113" i="2"/>
  <c r="AU113" i="2" s="1"/>
  <c r="AW113" i="2" s="1"/>
  <c r="AY113" i="2" s="1"/>
  <c r="AF452" i="1"/>
  <c r="AF450" i="1"/>
  <c r="AF449" i="1"/>
  <c r="Z91" i="2"/>
  <c r="AA91" i="2" s="1"/>
  <c r="Z90" i="2"/>
  <c r="X90" i="2"/>
  <c r="X89" i="2"/>
  <c r="AF445" i="1"/>
  <c r="AF435" i="1"/>
  <c r="AH432" i="1"/>
  <c r="AA115" i="2"/>
  <c r="K405" i="1"/>
  <c r="R404" i="1"/>
  <c r="R406" i="1"/>
  <c r="R403" i="1"/>
  <c r="R399" i="1"/>
  <c r="R389" i="1"/>
  <c r="T386" i="1"/>
  <c r="K406" i="1"/>
  <c r="K404" i="1"/>
  <c r="CE115" i="2" l="1"/>
  <c r="CG115" i="2" s="1"/>
  <c r="CI115" i="2" s="1"/>
  <c r="CE127" i="2"/>
  <c r="CG127" i="2" s="1"/>
  <c r="CI127" i="2" s="1"/>
  <c r="BM113" i="2"/>
  <c r="BO113" i="2" s="1"/>
  <c r="BQ113" i="2" s="1"/>
  <c r="BM115" i="2"/>
  <c r="BO115" i="2" s="1"/>
  <c r="BQ115" i="2" s="1"/>
  <c r="BS121" i="2" s="1"/>
  <c r="BE116" i="2" s="1"/>
  <c r="BH116" i="2" s="1"/>
  <c r="CE113" i="2"/>
  <c r="CG113" i="2" s="1"/>
  <c r="CI113" i="2" s="1"/>
  <c r="AU121" i="2"/>
  <c r="AW121" i="2" s="1"/>
  <c r="AY121" i="2" s="1"/>
  <c r="AU123" i="2"/>
  <c r="AW123" i="2" s="1"/>
  <c r="AY123" i="2" s="1"/>
  <c r="AU127" i="2"/>
  <c r="AW127" i="2" s="1"/>
  <c r="AY127" i="2" s="1"/>
  <c r="AU131" i="2"/>
  <c r="AW131" i="2" s="1"/>
  <c r="AY131" i="2" s="1"/>
  <c r="AP120" i="2"/>
  <c r="BM127" i="2"/>
  <c r="BO127" i="2" s="1"/>
  <c r="BQ127" i="2" s="1"/>
  <c r="BM131" i="2"/>
  <c r="BO131" i="2" s="1"/>
  <c r="BQ131" i="2" s="1"/>
  <c r="CE123" i="2"/>
  <c r="CG123" i="2" s="1"/>
  <c r="CI123" i="2" s="1"/>
  <c r="AU129" i="2"/>
  <c r="AW129" i="2" s="1"/>
  <c r="AY129" i="2" s="1"/>
  <c r="BH120" i="2"/>
  <c r="BM129" i="2"/>
  <c r="BO129" i="2" s="1"/>
  <c r="BQ129" i="2" s="1"/>
  <c r="BZ117" i="2"/>
  <c r="CE125" i="2"/>
  <c r="CG125" i="2" s="1"/>
  <c r="CI125" i="2" s="1"/>
  <c r="AU115" i="2"/>
  <c r="AW115" i="2" s="1"/>
  <c r="AY115" i="2" s="1"/>
  <c r="AU125" i="2"/>
  <c r="AW125" i="2" s="1"/>
  <c r="AY125" i="2" s="1"/>
  <c r="BA119" i="2" s="1"/>
  <c r="AM114" i="2" s="1"/>
  <c r="AP114" i="2" s="1"/>
  <c r="BH119" i="2"/>
  <c r="CE129" i="2"/>
  <c r="CG129" i="2" s="1"/>
  <c r="CI129" i="2" s="1"/>
  <c r="CE117" i="2"/>
  <c r="CG117" i="2" s="1"/>
  <c r="CI117" i="2" s="1"/>
  <c r="BA120" i="2"/>
  <c r="AM115" i="2" s="1"/>
  <c r="AP115" i="2" s="1"/>
  <c r="AA90" i="2"/>
  <c r="BM117" i="2"/>
  <c r="BO117" i="2" s="1"/>
  <c r="BQ117" i="2" s="1"/>
  <c r="BM119" i="2"/>
  <c r="BO119" i="2" s="1"/>
  <c r="BQ119" i="2" s="1"/>
  <c r="BM121" i="2"/>
  <c r="BO121" i="2" s="1"/>
  <c r="BQ121" i="2" s="1"/>
  <c r="BS120" i="2" s="1"/>
  <c r="BE115" i="2" s="1"/>
  <c r="BH115" i="2" s="1"/>
  <c r="CE119" i="2"/>
  <c r="CG119" i="2" s="1"/>
  <c r="CI119" i="2" s="1"/>
  <c r="CE121" i="2"/>
  <c r="CG121" i="2" s="1"/>
  <c r="CI121" i="2" s="1"/>
  <c r="CK120" i="2" s="1"/>
  <c r="BW115" i="2" s="1"/>
  <c r="CE131" i="2"/>
  <c r="CG131" i="2" s="1"/>
  <c r="CI131" i="2" s="1"/>
  <c r="BZ118" i="2"/>
  <c r="AV574" i="1"/>
  <c r="F619" i="1"/>
  <c r="BZ115" i="2"/>
  <c r="BH118" i="2"/>
  <c r="AP119" i="2"/>
  <c r="AP118" i="2"/>
  <c r="AP117" i="2"/>
  <c r="J41" i="7"/>
  <c r="K41" i="7" s="1"/>
  <c r="AM568" i="1" s="1"/>
  <c r="F41" i="7"/>
  <c r="G41" i="7" s="1"/>
  <c r="AF568" i="1" s="1"/>
  <c r="B41" i="7"/>
  <c r="C41" i="7" s="1"/>
  <c r="Y568" i="1" s="1"/>
  <c r="J38" i="7"/>
  <c r="K38" i="7" s="1"/>
  <c r="R568" i="1" s="1"/>
  <c r="F38" i="7"/>
  <c r="G38" i="7" s="1"/>
  <c r="K568" i="1" s="1"/>
  <c r="B38" i="7"/>
  <c r="C38" i="7" s="1"/>
  <c r="D568" i="1" s="1"/>
  <c r="BS119" i="2" l="1"/>
  <c r="BE114" i="2" s="1"/>
  <c r="BH114" i="2" s="1"/>
  <c r="CK121" i="2"/>
  <c r="BW116" i="2" s="1"/>
  <c r="BZ116" i="2" s="1"/>
  <c r="BA121" i="2"/>
  <c r="AM116" i="2" s="1"/>
  <c r="AP116" i="2" s="1"/>
  <c r="CK119" i="2"/>
  <c r="BW114" i="2" s="1"/>
  <c r="BZ114" i="2" s="1"/>
  <c r="AG567" i="1"/>
  <c r="Z567" i="1"/>
  <c r="S567" i="1"/>
  <c r="E567" i="1"/>
  <c r="AN567" i="1"/>
  <c r="L567" i="1"/>
  <c r="E568" i="1"/>
  <c r="L568" i="1"/>
  <c r="M568" i="1" s="1"/>
  <c r="S568" i="1"/>
  <c r="Z568" i="1"/>
  <c r="AA568" i="1" s="1"/>
  <c r="AG568" i="1"/>
  <c r="AH568" i="1" s="1"/>
  <c r="AN568" i="1"/>
  <c r="AO568" i="1" s="1"/>
  <c r="AN569" i="1"/>
  <c r="AG569" i="1"/>
  <c r="Z569" i="1"/>
  <c r="S569" i="1"/>
  <c r="L569" i="1"/>
  <c r="E569" i="1"/>
  <c r="E570" i="1"/>
  <c r="L570" i="1"/>
  <c r="AM567" i="1"/>
  <c r="AO567" i="1" s="1"/>
  <c r="AO594" i="1"/>
  <c r="AM577" i="1"/>
  <c r="AM569" i="1"/>
  <c r="Y570" i="1"/>
  <c r="Y567" i="1"/>
  <c r="AF570" i="1"/>
  <c r="AF567" i="1"/>
  <c r="R567" i="1"/>
  <c r="K570" i="1"/>
  <c r="K567" i="1"/>
  <c r="D570" i="1"/>
  <c r="D567" i="1"/>
  <c r="AH594" i="1"/>
  <c r="AF577" i="1"/>
  <c r="AG570" i="1"/>
  <c r="AF569" i="1"/>
  <c r="AA594" i="1"/>
  <c r="Y577" i="1"/>
  <c r="Z570" i="1"/>
  <c r="Y569" i="1"/>
  <c r="T594" i="1"/>
  <c r="R577" i="1"/>
  <c r="R569" i="1"/>
  <c r="T569" i="1" s="1"/>
  <c r="M594" i="1"/>
  <c r="K577" i="1"/>
  <c r="K569" i="1"/>
  <c r="F594" i="1"/>
  <c r="D577" i="1"/>
  <c r="D569" i="1"/>
  <c r="F568" i="1"/>
  <c r="F567" i="1" l="1"/>
  <c r="AH570" i="1"/>
  <c r="T567" i="1"/>
  <c r="M569" i="1"/>
  <c r="AA570" i="1"/>
  <c r="F569" i="1"/>
  <c r="AH569" i="1"/>
  <c r="M567" i="1"/>
  <c r="M574" i="1" s="1"/>
  <c r="AH567" i="1"/>
  <c r="T568" i="1"/>
  <c r="AO569" i="1"/>
  <c r="AO574" i="1" s="1"/>
  <c r="AA569" i="1"/>
  <c r="F570" i="1"/>
  <c r="AA567" i="1"/>
  <c r="T574" i="1" l="1"/>
  <c r="AH574" i="1"/>
  <c r="F574" i="1"/>
  <c r="AA574" i="1"/>
  <c r="AF527" i="1" l="1"/>
  <c r="AF520" i="1"/>
  <c r="Y527" i="1"/>
  <c r="AF519" i="1"/>
  <c r="Y526" i="1"/>
  <c r="Y523" i="1"/>
  <c r="Y522" i="1"/>
  <c r="Y520" i="1"/>
  <c r="Y519" i="1"/>
  <c r="S528" i="1"/>
  <c r="S527" i="1"/>
  <c r="S526" i="1"/>
  <c r="S525" i="1"/>
  <c r="S524" i="1"/>
  <c r="S522" i="1"/>
  <c r="S521" i="1"/>
  <c r="S520" i="1"/>
  <c r="S519" i="1"/>
  <c r="R526" i="1"/>
  <c r="R523" i="1"/>
  <c r="R522" i="1"/>
  <c r="R520" i="1"/>
  <c r="R528" i="1"/>
  <c r="R519" i="1"/>
  <c r="R527" i="1"/>
  <c r="L527" i="1"/>
  <c r="L526" i="1"/>
  <c r="L525" i="1"/>
  <c r="L524" i="1"/>
  <c r="L523" i="1"/>
  <c r="L522" i="1"/>
  <c r="L521" i="1"/>
  <c r="L520" i="1"/>
  <c r="L519" i="1"/>
  <c r="K526" i="1"/>
  <c r="K523" i="1"/>
  <c r="K522" i="1"/>
  <c r="K520" i="1"/>
  <c r="K527" i="1"/>
  <c r="K519" i="1"/>
  <c r="M519" i="1" s="1"/>
  <c r="AH549" i="1"/>
  <c r="AF532" i="1"/>
  <c r="AF525" i="1"/>
  <c r="AH525" i="1" s="1"/>
  <c r="AF524" i="1"/>
  <c r="AF523" i="1"/>
  <c r="AF521" i="1"/>
  <c r="AH520" i="1"/>
  <c r="AA549" i="1"/>
  <c r="Y532" i="1"/>
  <c r="Y525" i="1"/>
  <c r="Y524" i="1"/>
  <c r="Y521" i="1"/>
  <c r="AA521" i="1" s="1"/>
  <c r="T549" i="1"/>
  <c r="R532" i="1"/>
  <c r="R525" i="1"/>
  <c r="R524" i="1"/>
  <c r="R521" i="1"/>
  <c r="M549" i="1"/>
  <c r="K532" i="1"/>
  <c r="K525" i="1"/>
  <c r="K524" i="1"/>
  <c r="M524" i="1" s="1"/>
  <c r="K521" i="1"/>
  <c r="E527" i="1"/>
  <c r="E528" i="1"/>
  <c r="E526" i="1"/>
  <c r="E525" i="1"/>
  <c r="E524" i="1"/>
  <c r="E523" i="1"/>
  <c r="E522" i="1"/>
  <c r="E521" i="1"/>
  <c r="E520" i="1"/>
  <c r="E519" i="1"/>
  <c r="D527" i="1"/>
  <c r="D528" i="1"/>
  <c r="D520" i="1"/>
  <c r="D519" i="1"/>
  <c r="D522" i="1"/>
  <c r="F549" i="1"/>
  <c r="D532" i="1"/>
  <c r="D526" i="1"/>
  <c r="D525" i="1"/>
  <c r="D524" i="1"/>
  <c r="D523" i="1"/>
  <c r="D521" i="1"/>
  <c r="F527" i="1" l="1"/>
  <c r="F521" i="1"/>
  <c r="F528" i="1"/>
  <c r="AH521" i="1"/>
  <c r="AH524" i="1"/>
  <c r="M522" i="1"/>
  <c r="AA525" i="1"/>
  <c r="AA520" i="1"/>
  <c r="M527" i="1"/>
  <c r="AH522" i="1"/>
  <c r="AA524" i="1"/>
  <c r="T528" i="1"/>
  <c r="AA527" i="1"/>
  <c r="T527" i="1"/>
  <c r="AH519" i="1"/>
  <c r="AH523" i="1"/>
  <c r="AH526" i="1"/>
  <c r="T521" i="1"/>
  <c r="AA519" i="1"/>
  <c r="T524" i="1"/>
  <c r="AA522" i="1"/>
  <c r="F525" i="1"/>
  <c r="F522" i="1"/>
  <c r="M526" i="1"/>
  <c r="AA523" i="1"/>
  <c r="AH527" i="1"/>
  <c r="AA526" i="1"/>
  <c r="T526" i="1"/>
  <c r="T525" i="1"/>
  <c r="T523" i="1"/>
  <c r="T520" i="1"/>
  <c r="T519" i="1"/>
  <c r="T522" i="1"/>
  <c r="M525" i="1"/>
  <c r="M523" i="1"/>
  <c r="M521" i="1"/>
  <c r="M520" i="1"/>
  <c r="F526" i="1"/>
  <c r="F523" i="1"/>
  <c r="F524" i="1"/>
  <c r="F519" i="1"/>
  <c r="F520" i="1"/>
  <c r="AA529" i="1" l="1"/>
  <c r="AH529" i="1"/>
  <c r="T529" i="1"/>
  <c r="M529" i="1"/>
  <c r="F529" i="1"/>
  <c r="E35" i="7" l="1"/>
  <c r="B35" i="7"/>
  <c r="C35" i="7" s="1"/>
  <c r="BP476" i="1"/>
  <c r="BP475" i="1"/>
  <c r="BP474" i="1"/>
  <c r="BI474" i="1"/>
  <c r="BO484" i="1"/>
  <c r="BO476" i="1"/>
  <c r="BO475" i="1"/>
  <c r="BO474" i="1"/>
  <c r="BI476" i="1"/>
  <c r="BH476" i="1"/>
  <c r="BH475" i="1"/>
  <c r="BH474" i="1"/>
  <c r="BI475" i="1"/>
  <c r="BH484" i="1"/>
  <c r="AF498" i="1"/>
  <c r="AG477" i="1"/>
  <c r="AG476" i="1"/>
  <c r="AG475" i="1"/>
  <c r="AG474" i="1"/>
  <c r="B30" i="7"/>
  <c r="AF477" i="1"/>
  <c r="AF476" i="1"/>
  <c r="F27" i="7"/>
  <c r="D499" i="1" s="1"/>
  <c r="E27" i="7"/>
  <c r="B27" i="7"/>
  <c r="C27" i="7" s="1"/>
  <c r="D498" i="1"/>
  <c r="D476" i="1"/>
  <c r="D475" i="1"/>
  <c r="E474" i="1"/>
  <c r="D474" i="1"/>
  <c r="E476" i="1"/>
  <c r="E475" i="1"/>
  <c r="D484" i="1"/>
  <c r="Y452" i="1"/>
  <c r="C24" i="7"/>
  <c r="B24" i="7"/>
  <c r="Y446" i="1"/>
  <c r="Y435" i="1"/>
  <c r="AA432" i="1"/>
  <c r="B21" i="7"/>
  <c r="C21" i="7" s="1"/>
  <c r="D21" i="7" s="1"/>
  <c r="R426" i="1" s="1"/>
  <c r="R451" i="1"/>
  <c r="S426" i="1"/>
  <c r="S425" i="1"/>
  <c r="T425" i="1" s="1"/>
  <c r="R446" i="1"/>
  <c r="R435" i="1"/>
  <c r="D24" i="7" l="1"/>
  <c r="E24" i="7" s="1"/>
  <c r="F24" i="7" s="1"/>
  <c r="Y451" i="1" s="1"/>
  <c r="B31" i="7"/>
  <c r="C30" i="7"/>
  <c r="B32" i="7"/>
  <c r="BQ475" i="1"/>
  <c r="F475" i="1"/>
  <c r="BQ476" i="1"/>
  <c r="D30" i="7"/>
  <c r="E30" i="7" s="1"/>
  <c r="AF474" i="1" s="1"/>
  <c r="AH474" i="1" s="1"/>
  <c r="AH477" i="1"/>
  <c r="T426" i="1"/>
  <c r="T432" i="1" s="1"/>
  <c r="F474" i="1"/>
  <c r="AH476" i="1"/>
  <c r="BQ474" i="1"/>
  <c r="BJ476" i="1"/>
  <c r="BJ475" i="1"/>
  <c r="BJ474" i="1"/>
  <c r="F476" i="1"/>
  <c r="C32" i="7" l="1"/>
  <c r="AF475" i="1" s="1"/>
  <c r="AH475" i="1" s="1"/>
  <c r="AH481" i="1" s="1"/>
  <c r="F481" i="1"/>
  <c r="BQ481" i="1"/>
  <c r="BJ481" i="1"/>
  <c r="B18" i="7" l="1"/>
  <c r="C18" i="7" s="1"/>
  <c r="D18" i="7" s="1"/>
  <c r="K435" i="1"/>
  <c r="D405" i="1"/>
  <c r="K426" i="1"/>
  <c r="F17" i="7"/>
  <c r="BV425" i="1" s="1"/>
  <c r="BX425" i="1" s="1"/>
  <c r="BX432" i="1" s="1"/>
  <c r="B17" i="7"/>
  <c r="C17" i="7" s="1"/>
  <c r="D17" i="7" s="1"/>
  <c r="L426" i="1"/>
  <c r="L425" i="1"/>
  <c r="D452" i="1"/>
  <c r="D451" i="1"/>
  <c r="D446" i="1"/>
  <c r="D435" i="1"/>
  <c r="F432" i="1"/>
  <c r="W120" i="2"/>
  <c r="W119" i="2"/>
  <c r="W118" i="2"/>
  <c r="W117" i="2"/>
  <c r="W116" i="2"/>
  <c r="W115" i="2"/>
  <c r="W114" i="2"/>
  <c r="K425" i="1" l="1"/>
  <c r="K451" i="1"/>
  <c r="BV451" i="1"/>
  <c r="M425" i="1"/>
  <c r="M426" i="1"/>
  <c r="I115" i="2"/>
  <c r="M432" i="1" l="1"/>
  <c r="AA113" i="2"/>
  <c r="C14" i="7"/>
  <c r="B14" i="7"/>
  <c r="O34" i="1"/>
  <c r="AB113" i="2"/>
  <c r="AB115" i="2"/>
  <c r="AC115" i="2" s="1"/>
  <c r="AE115" i="2" s="1"/>
  <c r="AG115" i="2" s="1"/>
  <c r="U117" i="2"/>
  <c r="X117" i="2" s="1"/>
  <c r="U118" i="2"/>
  <c r="X118" i="2" s="1"/>
  <c r="U119" i="2"/>
  <c r="X119" i="2" s="1"/>
  <c r="U120" i="2"/>
  <c r="X120" i="2" s="1"/>
  <c r="U123" i="2"/>
  <c r="AA117" i="2"/>
  <c r="AB117" i="2"/>
  <c r="AA119" i="2"/>
  <c r="AB119" i="2"/>
  <c r="AA121" i="2"/>
  <c r="AB121" i="2"/>
  <c r="AA123" i="2"/>
  <c r="AB123" i="2"/>
  <c r="AB131" i="2"/>
  <c r="AA131" i="2"/>
  <c r="AB129" i="2"/>
  <c r="AA129" i="2"/>
  <c r="AB127" i="2"/>
  <c r="AA127" i="2"/>
  <c r="AB125" i="2"/>
  <c r="AA125" i="2"/>
  <c r="K403" i="1"/>
  <c r="K399" i="1"/>
  <c r="K389" i="1"/>
  <c r="M386" i="1"/>
  <c r="D62" i="3"/>
  <c r="D69" i="3"/>
  <c r="D389" i="1"/>
  <c r="F386" i="1"/>
  <c r="AF358" i="1"/>
  <c r="AH353" i="1"/>
  <c r="AH355" i="1" s="1"/>
  <c r="AH349" i="1"/>
  <c r="AH350" i="1" s="1"/>
  <c r="AH344" i="1"/>
  <c r="AH346" i="1" s="1"/>
  <c r="AH341" i="1"/>
  <c r="F215" i="1"/>
  <c r="AA361" i="1"/>
  <c r="Y354" i="1"/>
  <c r="Y344" i="1"/>
  <c r="AA341" i="1"/>
  <c r="T358" i="1"/>
  <c r="T361" i="1" s="1"/>
  <c r="R344" i="1"/>
  <c r="T341" i="1"/>
  <c r="M358" i="1"/>
  <c r="M361" i="1" s="1"/>
  <c r="K344" i="1"/>
  <c r="M341" i="1"/>
  <c r="F358" i="1"/>
  <c r="F361" i="1" s="1"/>
  <c r="D344" i="1"/>
  <c r="F341" i="1"/>
  <c r="D14" i="7" l="1"/>
  <c r="AC123" i="2"/>
  <c r="AE123" i="2" s="1"/>
  <c r="AG123" i="2" s="1"/>
  <c r="AC113" i="2"/>
  <c r="AE113" i="2" s="1"/>
  <c r="AG113" i="2" s="1"/>
  <c r="AC119" i="2"/>
  <c r="AE119" i="2" s="1"/>
  <c r="AG119" i="2" s="1"/>
  <c r="AC121" i="2"/>
  <c r="AE121" i="2" s="1"/>
  <c r="AG121" i="2" s="1"/>
  <c r="AC117" i="2"/>
  <c r="AE117" i="2" s="1"/>
  <c r="AG117" i="2" s="1"/>
  <c r="AC129" i="2"/>
  <c r="AE129" i="2" s="1"/>
  <c r="AG129" i="2" s="1"/>
  <c r="AC127" i="2"/>
  <c r="AE127" i="2" s="1"/>
  <c r="AG127" i="2" s="1"/>
  <c r="AC131" i="2"/>
  <c r="AE131" i="2" s="1"/>
  <c r="AG131" i="2" s="1"/>
  <c r="AC125" i="2"/>
  <c r="AE125" i="2" s="1"/>
  <c r="AG125" i="2" s="1"/>
  <c r="R354" i="1"/>
  <c r="AI119" i="2" l="1"/>
  <c r="AI121" i="2"/>
  <c r="U116" i="2" s="1"/>
  <c r="X116" i="2" s="1"/>
  <c r="AI120" i="2"/>
  <c r="U115" i="2" s="1"/>
  <c r="X115" i="2" s="1"/>
  <c r="U114" i="2"/>
  <c r="X114" i="2" s="1"/>
  <c r="D184" i="5" l="1"/>
  <c r="D181" i="5"/>
  <c r="C155" i="5"/>
  <c r="C161" i="5" s="1"/>
  <c r="C188" i="5"/>
  <c r="C189" i="5" s="1"/>
  <c r="C162" i="5"/>
  <c r="D180" i="5" s="1"/>
  <c r="C152" i="5"/>
  <c r="C153" i="5" s="1"/>
  <c r="C182" i="5" l="1"/>
  <c r="C179" i="5"/>
  <c r="C175" i="5"/>
  <c r="R108" i="1"/>
  <c r="S99" i="1"/>
  <c r="S98" i="1"/>
  <c r="R99" i="1"/>
  <c r="R98" i="1"/>
  <c r="T125" i="1"/>
  <c r="K108" i="1"/>
  <c r="L98" i="1"/>
  <c r="L99" i="1"/>
  <c r="K99" i="1"/>
  <c r="K98" i="1"/>
  <c r="M125" i="1"/>
  <c r="C186" i="5" l="1"/>
  <c r="T98" i="1"/>
  <c r="M98" i="1"/>
  <c r="C173" i="5"/>
  <c r="C176" i="5" s="1"/>
  <c r="C174" i="5"/>
  <c r="T99" i="1"/>
  <c r="T105" i="1" s="1"/>
  <c r="M99" i="1"/>
  <c r="C137" i="2"/>
  <c r="F136" i="2"/>
  <c r="L240" i="1"/>
  <c r="E240" i="1"/>
  <c r="K282" i="1"/>
  <c r="B6" i="7"/>
  <c r="K235" i="1"/>
  <c r="D282" i="1"/>
  <c r="Y53" i="1"/>
  <c r="Z53" i="1"/>
  <c r="K69" i="3"/>
  <c r="E69" i="3" s="1"/>
  <c r="K68" i="3"/>
  <c r="E75" i="3" s="1"/>
  <c r="F75" i="3" s="1"/>
  <c r="F77" i="3" s="1"/>
  <c r="K67" i="3"/>
  <c r="F67" i="3"/>
  <c r="AG7" i="1"/>
  <c r="AH7" i="1" s="1"/>
  <c r="AG6" i="1"/>
  <c r="AH6" i="1" s="1"/>
  <c r="E667" i="1" l="1"/>
  <c r="F667" i="1" s="1"/>
  <c r="L667" i="1"/>
  <c r="M667" i="1" s="1"/>
  <c r="M105" i="1"/>
  <c r="AA53" i="1"/>
  <c r="AA60" i="1" s="1"/>
  <c r="C177" i="5"/>
  <c r="C191" i="5" s="1"/>
  <c r="AN208" i="1" s="1"/>
  <c r="AO208" i="1" s="1"/>
  <c r="F69" i="3"/>
  <c r="AH212" i="1"/>
  <c r="AH215" i="1" s="1"/>
  <c r="AA212" i="1"/>
  <c r="AA215" i="1" s="1"/>
  <c r="T212" i="1"/>
  <c r="T215" i="1" s="1"/>
  <c r="AF198" i="1"/>
  <c r="AF208" i="1" s="1"/>
  <c r="Y198" i="1"/>
  <c r="R198" i="1"/>
  <c r="AH195" i="1"/>
  <c r="AA195" i="1"/>
  <c r="T195" i="1"/>
  <c r="Z77" i="1"/>
  <c r="Y77" i="1"/>
  <c r="Y63" i="1"/>
  <c r="Y78" i="1" s="1"/>
  <c r="L672" i="1" l="1"/>
  <c r="M672" i="1" s="1"/>
  <c r="M673" i="1" s="1"/>
  <c r="L676" i="1"/>
  <c r="M676" i="1" s="1"/>
  <c r="M678" i="1" s="1"/>
  <c r="M669" i="1"/>
  <c r="M686" i="1" s="1"/>
  <c r="F669" i="1"/>
  <c r="E672" i="1"/>
  <c r="F672" i="1" s="1"/>
  <c r="F673" i="1" s="1"/>
  <c r="E676" i="1"/>
  <c r="F676" i="1" s="1"/>
  <c r="F678" i="1" s="1"/>
  <c r="S354" i="1"/>
  <c r="T354" i="1" s="1"/>
  <c r="AG208" i="1"/>
  <c r="AH208" i="1" s="1"/>
  <c r="AA77" i="1"/>
  <c r="K284" i="1"/>
  <c r="L284" i="1"/>
  <c r="L283" i="1"/>
  <c r="L282" i="1"/>
  <c r="M282" i="1" s="1"/>
  <c r="L281" i="1"/>
  <c r="L280" i="1"/>
  <c r="K283" i="1"/>
  <c r="C11" i="7"/>
  <c r="K281" i="1" s="1"/>
  <c r="B11" i="7"/>
  <c r="K280" i="1"/>
  <c r="M307" i="1"/>
  <c r="K290" i="1"/>
  <c r="L241" i="1"/>
  <c r="E237" i="1"/>
  <c r="L239" i="1"/>
  <c r="L238" i="1"/>
  <c r="L237" i="1"/>
  <c r="L236" i="1"/>
  <c r="L235" i="1"/>
  <c r="M235" i="1" s="1"/>
  <c r="L234" i="1"/>
  <c r="L233" i="1"/>
  <c r="B8" i="7"/>
  <c r="C8" i="7" s="1"/>
  <c r="K240" i="1" s="1"/>
  <c r="C6" i="7"/>
  <c r="K236" i="1" s="1"/>
  <c r="B7" i="7"/>
  <c r="C7" i="7" s="1"/>
  <c r="K237" i="1" s="1"/>
  <c r="K241" i="1"/>
  <c r="K234" i="1"/>
  <c r="K233" i="1"/>
  <c r="M262" i="1"/>
  <c r="K245" i="1"/>
  <c r="K239" i="1"/>
  <c r="K238" i="1"/>
  <c r="D283" i="1"/>
  <c r="B3" i="7"/>
  <c r="E283" i="1"/>
  <c r="E282" i="1"/>
  <c r="E280" i="1"/>
  <c r="E281" i="1"/>
  <c r="B2" i="7"/>
  <c r="C2" i="7" s="1"/>
  <c r="D281" i="1" s="1"/>
  <c r="D280" i="1"/>
  <c r="F686" i="1" l="1"/>
  <c r="M281" i="1"/>
  <c r="M241" i="1"/>
  <c r="M284" i="1"/>
  <c r="M238" i="1"/>
  <c r="M239" i="1"/>
  <c r="M283" i="1"/>
  <c r="M280" i="1"/>
  <c r="M240" i="1"/>
  <c r="M237" i="1"/>
  <c r="M236" i="1"/>
  <c r="M233" i="1"/>
  <c r="M234" i="1"/>
  <c r="E234" i="1"/>
  <c r="E233" i="1"/>
  <c r="M287" i="1" l="1"/>
  <c r="M242" i="1"/>
  <c r="F307" i="1"/>
  <c r="D290" i="1"/>
  <c r="F283" i="1"/>
  <c r="F282" i="1"/>
  <c r="F281" i="1"/>
  <c r="F280" i="1"/>
  <c r="F262" i="1"/>
  <c r="F234" i="1"/>
  <c r="D245" i="1"/>
  <c r="E239" i="1"/>
  <c r="E238" i="1"/>
  <c r="E236" i="1"/>
  <c r="E235" i="1"/>
  <c r="D240" i="1"/>
  <c r="F240" i="1" s="1"/>
  <c r="D235" i="1"/>
  <c r="D239" i="1"/>
  <c r="D238" i="1"/>
  <c r="D237" i="1"/>
  <c r="F237" i="1" s="1"/>
  <c r="D236" i="1"/>
  <c r="D233" i="1"/>
  <c r="F233" i="1" s="1"/>
  <c r="F147" i="4"/>
  <c r="S53" i="1" s="1"/>
  <c r="F235" i="1" l="1"/>
  <c r="F236" i="1"/>
  <c r="F239" i="1"/>
  <c r="F238" i="1"/>
  <c r="F287" i="1"/>
  <c r="F242" i="1" l="1"/>
  <c r="S56" i="1"/>
  <c r="R63" i="1"/>
  <c r="R56" i="1"/>
  <c r="R55" i="1"/>
  <c r="D55" i="1"/>
  <c r="S55" i="1"/>
  <c r="S54" i="1"/>
  <c r="T54" i="1" s="1"/>
  <c r="T53" i="1"/>
  <c r="T80" i="1"/>
  <c r="K212" i="1"/>
  <c r="M198" i="1"/>
  <c r="M195" i="1"/>
  <c r="D208" i="1"/>
  <c r="D198" i="1"/>
  <c r="K62" i="3"/>
  <c r="E62" i="3" s="1"/>
  <c r="F62" i="3" s="1"/>
  <c r="K61" i="3"/>
  <c r="E68" i="3" s="1"/>
  <c r="F68" i="3" s="1"/>
  <c r="F70" i="3" s="1"/>
  <c r="K60" i="3"/>
  <c r="F60" i="3"/>
  <c r="D153" i="1"/>
  <c r="K55" i="3"/>
  <c r="D55" i="3"/>
  <c r="K54" i="3"/>
  <c r="E61" i="3" s="1"/>
  <c r="F61" i="3" s="1"/>
  <c r="K53" i="3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F170" i="1"/>
  <c r="E101" i="1"/>
  <c r="F101" i="1" s="1"/>
  <c r="E100" i="1"/>
  <c r="F100" i="1" s="1"/>
  <c r="E99" i="1"/>
  <c r="F99" i="1" s="1"/>
  <c r="E98" i="1"/>
  <c r="F98" i="1" s="1"/>
  <c r="D108" i="1"/>
  <c r="D27" i="3"/>
  <c r="D48" i="3"/>
  <c r="D34" i="3"/>
  <c r="D20" i="3"/>
  <c r="D13" i="3"/>
  <c r="D6" i="3"/>
  <c r="K48" i="3"/>
  <c r="E55" i="3" s="1"/>
  <c r="K47" i="3"/>
  <c r="E54" i="3" s="1"/>
  <c r="F54" i="3" s="1"/>
  <c r="K46" i="3"/>
  <c r="E53" i="3" s="1"/>
  <c r="F53" i="3" s="1"/>
  <c r="F125" i="1"/>
  <c r="E137" i="2" l="1"/>
  <c r="F137" i="2" s="1"/>
  <c r="E344" i="1"/>
  <c r="F344" i="1" s="1"/>
  <c r="S344" i="1"/>
  <c r="T344" i="1" s="1"/>
  <c r="L344" i="1"/>
  <c r="M344" i="1" s="1"/>
  <c r="E138" i="2"/>
  <c r="F138" i="2" s="1"/>
  <c r="E139" i="2"/>
  <c r="F139" i="2" s="1"/>
  <c r="F140" i="2" s="1"/>
  <c r="Z499" i="1" s="1"/>
  <c r="AA499" i="1" s="1"/>
  <c r="AG198" i="1"/>
  <c r="AH198" i="1" s="1"/>
  <c r="Z198" i="1"/>
  <c r="AA198" i="1" s="1"/>
  <c r="S198" i="1"/>
  <c r="T198" i="1" s="1"/>
  <c r="F55" i="3"/>
  <c r="F56" i="3" s="1"/>
  <c r="T55" i="1"/>
  <c r="T56" i="1"/>
  <c r="F63" i="3"/>
  <c r="L137" i="2" s="1"/>
  <c r="M137" i="2" s="1"/>
  <c r="M203" i="1"/>
  <c r="M204" i="1" s="1"/>
  <c r="M207" i="1"/>
  <c r="M209" i="1" s="1"/>
  <c r="M200" i="1"/>
  <c r="F195" i="1"/>
  <c r="F150" i="1"/>
  <c r="F105" i="1"/>
  <c r="E28" i="4"/>
  <c r="E120" i="2"/>
  <c r="E119" i="2"/>
  <c r="E118" i="2"/>
  <c r="E117" i="2"/>
  <c r="E116" i="2"/>
  <c r="E115" i="2"/>
  <c r="E114" i="2"/>
  <c r="AF27" i="1"/>
  <c r="AF16" i="1"/>
  <c r="AH13" i="1"/>
  <c r="I125" i="2"/>
  <c r="I121" i="2"/>
  <c r="I123" i="2"/>
  <c r="I119" i="2"/>
  <c r="I117" i="2"/>
  <c r="I129" i="2"/>
  <c r="I131" i="2"/>
  <c r="I127" i="2"/>
  <c r="J131" i="2"/>
  <c r="J129" i="2"/>
  <c r="J127" i="2"/>
  <c r="J125" i="2"/>
  <c r="J123" i="2"/>
  <c r="J121" i="2"/>
  <c r="J119" i="2"/>
  <c r="J117" i="2"/>
  <c r="J115" i="2"/>
  <c r="J113" i="2"/>
  <c r="I113" i="2"/>
  <c r="Y32" i="1"/>
  <c r="Q89" i="2"/>
  <c r="Q90" i="2"/>
  <c r="S90" i="2"/>
  <c r="S91" i="2"/>
  <c r="T91" i="2" s="1"/>
  <c r="L139" i="2" l="1"/>
  <c r="M139" i="2" s="1"/>
  <c r="L138" i="2"/>
  <c r="M138" i="2" s="1"/>
  <c r="M140" i="2" s="1"/>
  <c r="AU577" i="1"/>
  <c r="AV577" i="1" s="1"/>
  <c r="Z532" i="1"/>
  <c r="AA532" i="1" s="1"/>
  <c r="Z622" i="1"/>
  <c r="AA622" i="1" s="1"/>
  <c r="L622" i="1"/>
  <c r="M622" i="1" s="1"/>
  <c r="AN532" i="1"/>
  <c r="AO532" i="1" s="1"/>
  <c r="AG532" i="1"/>
  <c r="AH532" i="1" s="1"/>
  <c r="S622" i="1"/>
  <c r="T622" i="1" s="1"/>
  <c r="E622" i="1"/>
  <c r="F622" i="1" s="1"/>
  <c r="Z344" i="1"/>
  <c r="AA344" i="1" s="1"/>
  <c r="Z353" i="1" s="1"/>
  <c r="AA353" i="1" s="1"/>
  <c r="AN198" i="1"/>
  <c r="AO198" i="1" s="1"/>
  <c r="Z577" i="1"/>
  <c r="AA577" i="1" s="1"/>
  <c r="L577" i="1"/>
  <c r="M577" i="1" s="1"/>
  <c r="AN577" i="1"/>
  <c r="AO577" i="1" s="1"/>
  <c r="S577" i="1"/>
  <c r="T577" i="1" s="1"/>
  <c r="E577" i="1"/>
  <c r="F577" i="1" s="1"/>
  <c r="AG577" i="1"/>
  <c r="AH577" i="1" s="1"/>
  <c r="Z78" i="1"/>
  <c r="AA78" i="1" s="1"/>
  <c r="AA80" i="1" s="1"/>
  <c r="AG498" i="1"/>
  <c r="AH498" i="1" s="1"/>
  <c r="AH501" i="1" s="1"/>
  <c r="AG32" i="1"/>
  <c r="S451" i="1"/>
  <c r="T451" i="1" s="1"/>
  <c r="E451" i="1"/>
  <c r="F451" i="1" s="1"/>
  <c r="L349" i="1"/>
  <c r="M349" i="1" s="1"/>
  <c r="M350" i="1" s="1"/>
  <c r="M346" i="1"/>
  <c r="L353" i="1"/>
  <c r="M353" i="1" s="1"/>
  <c r="M355" i="1" s="1"/>
  <c r="S349" i="1"/>
  <c r="T349" i="1" s="1"/>
  <c r="T350" i="1" s="1"/>
  <c r="S353" i="1"/>
  <c r="T353" i="1" s="1"/>
  <c r="T355" i="1" s="1"/>
  <c r="T346" i="1"/>
  <c r="S532" i="1"/>
  <c r="T532" i="1" s="1"/>
  <c r="L532" i="1"/>
  <c r="M532" i="1" s="1"/>
  <c r="E532" i="1"/>
  <c r="F532" i="1" s="1"/>
  <c r="E349" i="1"/>
  <c r="F349" i="1" s="1"/>
  <c r="F350" i="1" s="1"/>
  <c r="E353" i="1"/>
  <c r="F353" i="1" s="1"/>
  <c r="F355" i="1" s="1"/>
  <c r="F346" i="1"/>
  <c r="T60" i="1"/>
  <c r="K129" i="2"/>
  <c r="M129" i="2" s="1"/>
  <c r="O129" i="2" s="1"/>
  <c r="AA200" i="1"/>
  <c r="Z203" i="1"/>
  <c r="AA203" i="1" s="1"/>
  <c r="AA204" i="1" s="1"/>
  <c r="Z207" i="1"/>
  <c r="AA207" i="1" s="1"/>
  <c r="AA209" i="1" s="1"/>
  <c r="E198" i="1"/>
  <c r="F198" i="1" s="1"/>
  <c r="E290" i="1"/>
  <c r="F290" i="1" s="1"/>
  <c r="L290" i="1"/>
  <c r="M290" i="1" s="1"/>
  <c r="L245" i="1"/>
  <c r="M245" i="1" s="1"/>
  <c r="S207" i="1"/>
  <c r="T207" i="1" s="1"/>
  <c r="T209" i="1" s="1"/>
  <c r="S203" i="1"/>
  <c r="T203" i="1" s="1"/>
  <c r="T204" i="1" s="1"/>
  <c r="T200" i="1"/>
  <c r="AG203" i="1"/>
  <c r="AH203" i="1" s="1"/>
  <c r="AH204" i="1" s="1"/>
  <c r="AH200" i="1"/>
  <c r="AG207" i="1"/>
  <c r="AH207" i="1" s="1"/>
  <c r="AH209" i="1" s="1"/>
  <c r="E245" i="1"/>
  <c r="F245" i="1" s="1"/>
  <c r="E153" i="1"/>
  <c r="F153" i="1" s="1"/>
  <c r="F155" i="1" s="1"/>
  <c r="K131" i="2"/>
  <c r="M131" i="2" s="1"/>
  <c r="O131" i="2" s="1"/>
  <c r="T90" i="2"/>
  <c r="K127" i="2"/>
  <c r="M127" i="2" s="1"/>
  <c r="O127" i="2" s="1"/>
  <c r="AU498" i="1" l="1"/>
  <c r="AV498" i="1" s="1"/>
  <c r="AV501" i="1" s="1"/>
  <c r="BB498" i="1"/>
  <c r="BC498" i="1" s="1"/>
  <c r="BC501" i="1" s="1"/>
  <c r="AN499" i="1"/>
  <c r="AO499" i="1" s="1"/>
  <c r="AO501" i="1" s="1"/>
  <c r="AO503" i="1" s="1"/>
  <c r="E37" i="6" s="1"/>
  <c r="AA346" i="1"/>
  <c r="Z349" i="1"/>
  <c r="AA349" i="1" s="1"/>
  <c r="AA350" i="1" s="1"/>
  <c r="E111" i="6"/>
  <c r="S631" i="1"/>
  <c r="T631" i="1" s="1"/>
  <c r="T633" i="1" s="1"/>
  <c r="S627" i="1"/>
  <c r="T627" i="1" s="1"/>
  <c r="T628" i="1" s="1"/>
  <c r="T624" i="1"/>
  <c r="Z631" i="1"/>
  <c r="AA631" i="1" s="1"/>
  <c r="AA633" i="1" s="1"/>
  <c r="Z627" i="1"/>
  <c r="AA627" i="1" s="1"/>
  <c r="AA628" i="1" s="1"/>
  <c r="AA624" i="1"/>
  <c r="E631" i="1"/>
  <c r="F631" i="1" s="1"/>
  <c r="F633" i="1" s="1"/>
  <c r="F624" i="1"/>
  <c r="E627" i="1"/>
  <c r="F627" i="1" s="1"/>
  <c r="F628" i="1" s="1"/>
  <c r="L627" i="1"/>
  <c r="M627" i="1" s="1"/>
  <c r="M628" i="1" s="1"/>
  <c r="L631" i="1"/>
  <c r="M631" i="1" s="1"/>
  <c r="M633" i="1" s="1"/>
  <c r="M624" i="1"/>
  <c r="M641" i="1" s="1"/>
  <c r="E92" i="6" s="1"/>
  <c r="AG541" i="1"/>
  <c r="AH541" i="1" s="1"/>
  <c r="AH543" i="1" s="1"/>
  <c r="AG537" i="1"/>
  <c r="AH537" i="1" s="1"/>
  <c r="AH538" i="1" s="1"/>
  <c r="AH534" i="1"/>
  <c r="AA534" i="1"/>
  <c r="Z541" i="1"/>
  <c r="AA541" i="1" s="1"/>
  <c r="AA543" i="1" s="1"/>
  <c r="Z537" i="1"/>
  <c r="AA537" i="1" s="1"/>
  <c r="AA538" i="1" s="1"/>
  <c r="AN207" i="1"/>
  <c r="AO207" i="1" s="1"/>
  <c r="AO209" i="1" s="1"/>
  <c r="AN203" i="1"/>
  <c r="AO203" i="1" s="1"/>
  <c r="AO204" i="1" s="1"/>
  <c r="AO200" i="1"/>
  <c r="AN541" i="1"/>
  <c r="AO541" i="1" s="1"/>
  <c r="AO543" i="1" s="1"/>
  <c r="AN537" i="1"/>
  <c r="AO537" i="1" s="1"/>
  <c r="AO538" i="1" s="1"/>
  <c r="AO534" i="1"/>
  <c r="AO551" i="1" s="1"/>
  <c r="AV579" i="1"/>
  <c r="AV596" i="1" s="1"/>
  <c r="E56" i="6" s="1"/>
  <c r="AU582" i="1"/>
  <c r="AV582" i="1" s="1"/>
  <c r="AV583" i="1" s="1"/>
  <c r="AU586" i="1"/>
  <c r="AV586" i="1" s="1"/>
  <c r="AV588" i="1" s="1"/>
  <c r="S586" i="1"/>
  <c r="T586" i="1" s="1"/>
  <c r="T588" i="1" s="1"/>
  <c r="S582" i="1"/>
  <c r="T582" i="1" s="1"/>
  <c r="T583" i="1" s="1"/>
  <c r="T579" i="1"/>
  <c r="AN582" i="1"/>
  <c r="AO582" i="1" s="1"/>
  <c r="AO583" i="1" s="1"/>
  <c r="AN586" i="1"/>
  <c r="AO586" i="1" s="1"/>
  <c r="AO588" i="1" s="1"/>
  <c r="AO579" i="1"/>
  <c r="AG582" i="1"/>
  <c r="AH582" i="1" s="1"/>
  <c r="AH583" i="1" s="1"/>
  <c r="AG586" i="1"/>
  <c r="AH586" i="1" s="1"/>
  <c r="AH588" i="1" s="1"/>
  <c r="AH579" i="1"/>
  <c r="L582" i="1"/>
  <c r="M582" i="1" s="1"/>
  <c r="M583" i="1" s="1"/>
  <c r="L586" i="1"/>
  <c r="M586" i="1" s="1"/>
  <c r="M588" i="1" s="1"/>
  <c r="M579" i="1"/>
  <c r="M363" i="1"/>
  <c r="E6" i="6" s="1"/>
  <c r="E582" i="1"/>
  <c r="F582" i="1" s="1"/>
  <c r="F583" i="1" s="1"/>
  <c r="F579" i="1"/>
  <c r="E586" i="1"/>
  <c r="F586" i="1" s="1"/>
  <c r="F588" i="1" s="1"/>
  <c r="Z586" i="1"/>
  <c r="AA586" i="1" s="1"/>
  <c r="AA588" i="1" s="1"/>
  <c r="AA579" i="1"/>
  <c r="Z582" i="1"/>
  <c r="AA582" i="1" s="1"/>
  <c r="AA583" i="1" s="1"/>
  <c r="T534" i="1"/>
  <c r="S537" i="1"/>
  <c r="T537" i="1" s="1"/>
  <c r="T538" i="1" s="1"/>
  <c r="S541" i="1"/>
  <c r="T541" i="1" s="1"/>
  <c r="T543" i="1" s="1"/>
  <c r="L541" i="1"/>
  <c r="M541" i="1" s="1"/>
  <c r="M543" i="1" s="1"/>
  <c r="L537" i="1"/>
  <c r="M537" i="1" s="1"/>
  <c r="M538" i="1" s="1"/>
  <c r="M534" i="1"/>
  <c r="T363" i="1"/>
  <c r="E7" i="6" s="1"/>
  <c r="F363" i="1"/>
  <c r="E5" i="6" s="1"/>
  <c r="F534" i="1"/>
  <c r="E537" i="1"/>
  <c r="F537" i="1" s="1"/>
  <c r="F538" i="1" s="1"/>
  <c r="E541" i="1"/>
  <c r="F541" i="1" s="1"/>
  <c r="F543" i="1" s="1"/>
  <c r="AA217" i="1"/>
  <c r="E203" i="1"/>
  <c r="F203" i="1" s="1"/>
  <c r="F204" i="1" s="1"/>
  <c r="E207" i="1"/>
  <c r="F207" i="1" s="1"/>
  <c r="F200" i="1"/>
  <c r="L254" i="1"/>
  <c r="M254" i="1" s="1"/>
  <c r="M256" i="1" s="1"/>
  <c r="L250" i="1"/>
  <c r="M250" i="1" s="1"/>
  <c r="M251" i="1" s="1"/>
  <c r="M247" i="1"/>
  <c r="AH217" i="1"/>
  <c r="F292" i="1"/>
  <c r="E295" i="1"/>
  <c r="F295" i="1" s="1"/>
  <c r="F296" i="1" s="1"/>
  <c r="E299" i="1"/>
  <c r="F299" i="1" s="1"/>
  <c r="F301" i="1" s="1"/>
  <c r="T217" i="1"/>
  <c r="L299" i="1"/>
  <c r="M299" i="1" s="1"/>
  <c r="M301" i="1" s="1"/>
  <c r="M292" i="1"/>
  <c r="L295" i="1"/>
  <c r="M295" i="1" s="1"/>
  <c r="M296" i="1" s="1"/>
  <c r="E162" i="1"/>
  <c r="F162" i="1" s="1"/>
  <c r="F164" i="1" s="1"/>
  <c r="E158" i="1"/>
  <c r="F158" i="1" s="1"/>
  <c r="F159" i="1" s="1"/>
  <c r="E250" i="1"/>
  <c r="F250" i="1" s="1"/>
  <c r="F251" i="1" s="1"/>
  <c r="E254" i="1"/>
  <c r="F254" i="1" s="1"/>
  <c r="F256" i="1" s="1"/>
  <c r="F247" i="1"/>
  <c r="AA551" i="1" l="1"/>
  <c r="E48" i="6" s="1"/>
  <c r="F641" i="1"/>
  <c r="E91" i="6" s="1"/>
  <c r="M596" i="1"/>
  <c r="AO217" i="1"/>
  <c r="AH551" i="1"/>
  <c r="E49" i="6" s="1"/>
  <c r="T641" i="1"/>
  <c r="E93" i="6" s="1"/>
  <c r="AA641" i="1"/>
  <c r="E94" i="6" s="1"/>
  <c r="T596" i="1"/>
  <c r="E53" i="6" s="1"/>
  <c r="F596" i="1"/>
  <c r="AA596" i="1"/>
  <c r="E54" i="6" s="1"/>
  <c r="AO596" i="1"/>
  <c r="E120" i="6" s="1"/>
  <c r="M551" i="1"/>
  <c r="AH596" i="1"/>
  <c r="E55" i="6" s="1"/>
  <c r="F551" i="1"/>
  <c r="T551" i="1"/>
  <c r="E47" i="6" s="1"/>
  <c r="M264" i="1"/>
  <c r="F172" i="1"/>
  <c r="F309" i="1"/>
  <c r="M309" i="1"/>
  <c r="F264" i="1"/>
  <c r="Y33" i="1"/>
  <c r="C123" i="2"/>
  <c r="C120" i="2"/>
  <c r="F120" i="2" s="1"/>
  <c r="K119" i="2"/>
  <c r="M119" i="2" s="1"/>
  <c r="O119" i="2" s="1"/>
  <c r="C119" i="2"/>
  <c r="C118" i="2"/>
  <c r="C117" i="2"/>
  <c r="E46" i="6" l="1"/>
  <c r="E119" i="6"/>
  <c r="E123" i="6"/>
  <c r="E52" i="6"/>
  <c r="E118" i="6"/>
  <c r="E45" i="6"/>
  <c r="E122" i="6"/>
  <c r="E51" i="6"/>
  <c r="K115" i="2"/>
  <c r="M115" i="2" s="1"/>
  <c r="O115" i="2" s="1"/>
  <c r="K125" i="2"/>
  <c r="M125" i="2" s="1"/>
  <c r="O125" i="2" s="1"/>
  <c r="K121" i="2"/>
  <c r="M121" i="2" s="1"/>
  <c r="K117" i="2"/>
  <c r="M117" i="2" s="1"/>
  <c r="O117" i="2" s="1"/>
  <c r="K113" i="2"/>
  <c r="M113" i="2" s="1"/>
  <c r="F118" i="2"/>
  <c r="K123" i="2"/>
  <c r="M123" i="2" s="1"/>
  <c r="O123" i="2" s="1"/>
  <c r="F117" i="2"/>
  <c r="F119" i="2"/>
  <c r="Y16" i="1"/>
  <c r="O113" i="2" l="1"/>
  <c r="Q119" i="2" s="1"/>
  <c r="C114" i="2" s="1"/>
  <c r="F114" i="2" s="1"/>
  <c r="Q121" i="2"/>
  <c r="C116" i="2" s="1"/>
  <c r="F116" i="2" s="1"/>
  <c r="O121" i="2"/>
  <c r="Q120" i="2" s="1"/>
  <c r="C115" i="2" s="1"/>
  <c r="F115" i="2" s="1"/>
  <c r="Y26" i="1" l="1"/>
  <c r="Y31" i="1"/>
  <c r="J90" i="2"/>
  <c r="J89" i="2"/>
  <c r="L91" i="2"/>
  <c r="M91" i="2" s="1"/>
  <c r="L90" i="2"/>
  <c r="Y30" i="1"/>
  <c r="V30" i="1"/>
  <c r="V16" i="1"/>
  <c r="C107" i="5"/>
  <c r="C113" i="5" s="1"/>
  <c r="D136" i="5"/>
  <c r="R27" i="1"/>
  <c r="C140" i="5"/>
  <c r="C141" i="5" s="1"/>
  <c r="D133" i="5"/>
  <c r="C114" i="5"/>
  <c r="D132" i="5" s="1"/>
  <c r="C102" i="5"/>
  <c r="C104" i="5" s="1"/>
  <c r="C92" i="5"/>
  <c r="C93" i="5" s="1"/>
  <c r="D88" i="5"/>
  <c r="D85" i="5"/>
  <c r="C66" i="5"/>
  <c r="C59" i="5"/>
  <c r="C65" i="5" s="1"/>
  <c r="C56" i="5"/>
  <c r="C44" i="5"/>
  <c r="C45" i="5" s="1"/>
  <c r="C41" i="5"/>
  <c r="D40" i="5"/>
  <c r="D37" i="5"/>
  <c r="C18" i="5"/>
  <c r="D36" i="5" s="1"/>
  <c r="C11" i="5"/>
  <c r="C17" i="5" s="1"/>
  <c r="C8" i="5"/>
  <c r="C9" i="5" s="1"/>
  <c r="K41" i="3"/>
  <c r="E48" i="3" s="1"/>
  <c r="F48" i="3" s="1"/>
  <c r="D41" i="3"/>
  <c r="K40" i="3"/>
  <c r="E47" i="3" s="1"/>
  <c r="F47" i="3" s="1"/>
  <c r="K39" i="3"/>
  <c r="E46" i="3" s="1"/>
  <c r="F46" i="3" s="1"/>
  <c r="K34" i="3"/>
  <c r="E41" i="3" s="1"/>
  <c r="K33" i="3"/>
  <c r="E40" i="3" s="1"/>
  <c r="F40" i="3" s="1"/>
  <c r="K32" i="3"/>
  <c r="E39" i="3" s="1"/>
  <c r="F39" i="3" s="1"/>
  <c r="K27" i="3"/>
  <c r="E34" i="3" s="1"/>
  <c r="F34" i="3" s="1"/>
  <c r="K26" i="3"/>
  <c r="E33" i="3" s="1"/>
  <c r="F33" i="3" s="1"/>
  <c r="K25" i="3"/>
  <c r="E32" i="3" s="1"/>
  <c r="F32" i="3" s="1"/>
  <c r="K20" i="3"/>
  <c r="E27" i="3" s="1"/>
  <c r="F27" i="3" s="1"/>
  <c r="K19" i="3"/>
  <c r="E26" i="3" s="1"/>
  <c r="F26" i="3" s="1"/>
  <c r="K18" i="3"/>
  <c r="E25" i="3" s="1"/>
  <c r="F25" i="3" s="1"/>
  <c r="K13" i="3"/>
  <c r="E20" i="3" s="1"/>
  <c r="F20" i="3" s="1"/>
  <c r="K12" i="3"/>
  <c r="E19" i="3" s="1"/>
  <c r="F19" i="3" s="1"/>
  <c r="K11" i="3"/>
  <c r="E18" i="3" s="1"/>
  <c r="F18" i="3" s="1"/>
  <c r="K6" i="3"/>
  <c r="E13" i="3" s="1"/>
  <c r="F13" i="3" s="1"/>
  <c r="K5" i="3"/>
  <c r="E12" i="3" s="1"/>
  <c r="F12" i="3" s="1"/>
  <c r="K4" i="3"/>
  <c r="E11" i="3" s="1"/>
  <c r="F11" i="3" s="1"/>
  <c r="J109" i="2"/>
  <c r="I109" i="2"/>
  <c r="J107" i="2"/>
  <c r="I107" i="2"/>
  <c r="C107" i="2"/>
  <c r="A107" i="2"/>
  <c r="J105" i="2"/>
  <c r="I105" i="2"/>
  <c r="E104" i="2"/>
  <c r="C104" i="2"/>
  <c r="A104" i="2"/>
  <c r="J103" i="2"/>
  <c r="I103" i="2"/>
  <c r="E103" i="2"/>
  <c r="C103" i="2"/>
  <c r="A103" i="2"/>
  <c r="E102" i="2"/>
  <c r="C102" i="2"/>
  <c r="J101" i="2"/>
  <c r="I101" i="2"/>
  <c r="E101" i="2"/>
  <c r="C101" i="2"/>
  <c r="A101" i="2"/>
  <c r="E100" i="2"/>
  <c r="A100" i="2"/>
  <c r="J99" i="2"/>
  <c r="I99" i="2"/>
  <c r="E99" i="2"/>
  <c r="A99" i="2"/>
  <c r="E98" i="2"/>
  <c r="A98" i="2"/>
  <c r="J97" i="2"/>
  <c r="I97" i="2"/>
  <c r="E91" i="2"/>
  <c r="F91" i="2" s="1"/>
  <c r="A91" i="2"/>
  <c r="E90" i="2"/>
  <c r="C90" i="2"/>
  <c r="A90" i="2"/>
  <c r="C89" i="2"/>
  <c r="A89" i="2"/>
  <c r="DF81" i="2"/>
  <c r="DG81" i="2" s="1"/>
  <c r="CY81" i="2"/>
  <c r="CZ81" i="2" s="1"/>
  <c r="CR81" i="2"/>
  <c r="CS81" i="2" s="1"/>
  <c r="CK81" i="2"/>
  <c r="CL81" i="2" s="1"/>
  <c r="CD81" i="2"/>
  <c r="CE81" i="2" s="1"/>
  <c r="BW81" i="2"/>
  <c r="BX81" i="2" s="1"/>
  <c r="BP81" i="2"/>
  <c r="BQ81" i="2" s="1"/>
  <c r="BI81" i="2"/>
  <c r="BJ81" i="2" s="1"/>
  <c r="BB81" i="2"/>
  <c r="BC81" i="2" s="1"/>
  <c r="AU81" i="2"/>
  <c r="AV81" i="2" s="1"/>
  <c r="AN81" i="2"/>
  <c r="AO81" i="2" s="1"/>
  <c r="AG81" i="2"/>
  <c r="AH81" i="2" s="1"/>
  <c r="Z81" i="2"/>
  <c r="AA81" i="2" s="1"/>
  <c r="S81" i="2"/>
  <c r="T81" i="2" s="1"/>
  <c r="L81" i="2"/>
  <c r="M81" i="2" s="1"/>
  <c r="E81" i="2"/>
  <c r="F81" i="2" s="1"/>
  <c r="DF80" i="2"/>
  <c r="DG80" i="2" s="1"/>
  <c r="CY80" i="2"/>
  <c r="CZ80" i="2" s="1"/>
  <c r="CR80" i="2"/>
  <c r="CS80" i="2" s="1"/>
  <c r="CK80" i="2"/>
  <c r="CL80" i="2" s="1"/>
  <c r="CD80" i="2"/>
  <c r="CE80" i="2" s="1"/>
  <c r="BW80" i="2"/>
  <c r="BX80" i="2" s="1"/>
  <c r="BP80" i="2"/>
  <c r="BQ80" i="2" s="1"/>
  <c r="BI80" i="2"/>
  <c r="BJ80" i="2" s="1"/>
  <c r="BB80" i="2"/>
  <c r="BC80" i="2" s="1"/>
  <c r="AU80" i="2"/>
  <c r="AV80" i="2" s="1"/>
  <c r="AN80" i="2"/>
  <c r="AO80" i="2" s="1"/>
  <c r="AG80" i="2"/>
  <c r="AH80" i="2" s="1"/>
  <c r="Z80" i="2"/>
  <c r="AA80" i="2" s="1"/>
  <c r="S80" i="2"/>
  <c r="T80" i="2" s="1"/>
  <c r="L80" i="2"/>
  <c r="M80" i="2" s="1"/>
  <c r="H80" i="2"/>
  <c r="A80" i="2"/>
  <c r="DF79" i="2"/>
  <c r="DG79" i="2" s="1"/>
  <c r="DB79" i="2"/>
  <c r="CY79" i="2"/>
  <c r="CZ79" i="2" s="1"/>
  <c r="CU79" i="2"/>
  <c r="CR79" i="2"/>
  <c r="CS79" i="2" s="1"/>
  <c r="CN79" i="2"/>
  <c r="CK79" i="2"/>
  <c r="CL79" i="2" s="1"/>
  <c r="CG79" i="2"/>
  <c r="CD79" i="2"/>
  <c r="CE79" i="2" s="1"/>
  <c r="BZ79" i="2"/>
  <c r="BW79" i="2"/>
  <c r="BX79" i="2" s="1"/>
  <c r="BS79" i="2"/>
  <c r="BP79" i="2"/>
  <c r="BQ79" i="2" s="1"/>
  <c r="BL79" i="2"/>
  <c r="BI79" i="2"/>
  <c r="BJ79" i="2" s="1"/>
  <c r="BE79" i="2"/>
  <c r="BB79" i="2"/>
  <c r="BC79" i="2" s="1"/>
  <c r="AX79" i="2"/>
  <c r="AU79" i="2"/>
  <c r="AV79" i="2" s="1"/>
  <c r="AQ79" i="2"/>
  <c r="AN79" i="2"/>
  <c r="AO79" i="2" s="1"/>
  <c r="AJ79" i="2"/>
  <c r="AG79" i="2"/>
  <c r="AH79" i="2" s="1"/>
  <c r="AC79" i="2"/>
  <c r="Z79" i="2"/>
  <c r="AA79" i="2" s="1"/>
  <c r="V79" i="2"/>
  <c r="S79" i="2"/>
  <c r="T79" i="2" s="1"/>
  <c r="O79" i="2"/>
  <c r="L79" i="2"/>
  <c r="M79" i="2" s="1"/>
  <c r="H79" i="2"/>
  <c r="A79" i="2"/>
  <c r="DF78" i="2"/>
  <c r="DG78" i="2" s="1"/>
  <c r="DB78" i="2"/>
  <c r="CY78" i="2"/>
  <c r="CZ78" i="2" s="1"/>
  <c r="CU78" i="2"/>
  <c r="CR78" i="2"/>
  <c r="CS78" i="2" s="1"/>
  <c r="CN78" i="2"/>
  <c r="CK78" i="2"/>
  <c r="CL78" i="2" s="1"/>
  <c r="CG78" i="2"/>
  <c r="CD78" i="2"/>
  <c r="CE78" i="2" s="1"/>
  <c r="BZ78" i="2"/>
  <c r="BW78" i="2"/>
  <c r="BX78" i="2" s="1"/>
  <c r="BS78" i="2"/>
  <c r="BP78" i="2"/>
  <c r="BQ78" i="2" s="1"/>
  <c r="BL78" i="2"/>
  <c r="BI78" i="2"/>
  <c r="BJ78" i="2" s="1"/>
  <c r="BE78" i="2"/>
  <c r="BB78" i="2"/>
  <c r="BC78" i="2" s="1"/>
  <c r="AX78" i="2"/>
  <c r="AU78" i="2"/>
  <c r="AV78" i="2" s="1"/>
  <c r="AQ78" i="2"/>
  <c r="AN78" i="2"/>
  <c r="AO78" i="2" s="1"/>
  <c r="AJ78" i="2"/>
  <c r="AG78" i="2"/>
  <c r="AH78" i="2" s="1"/>
  <c r="AC78" i="2"/>
  <c r="Z78" i="2"/>
  <c r="AA78" i="2" s="1"/>
  <c r="V78" i="2"/>
  <c r="S78" i="2"/>
  <c r="T78" i="2" s="1"/>
  <c r="O78" i="2"/>
  <c r="L78" i="2"/>
  <c r="M78" i="2" s="1"/>
  <c r="H78" i="2"/>
  <c r="E78" i="2"/>
  <c r="F78" i="2" s="1"/>
  <c r="A78" i="2"/>
  <c r="AG73" i="2"/>
  <c r="AH73" i="2" s="1"/>
  <c r="AC73" i="2"/>
  <c r="Z73" i="2"/>
  <c r="AA73" i="2" s="1"/>
  <c r="V73" i="2"/>
  <c r="S73" i="2"/>
  <c r="T73" i="2" s="1"/>
  <c r="O73" i="2"/>
  <c r="L73" i="2"/>
  <c r="M73" i="2" s="1"/>
  <c r="H73" i="2"/>
  <c r="E73" i="2"/>
  <c r="F73" i="2" s="1"/>
  <c r="A73" i="2"/>
  <c r="AG72" i="2"/>
  <c r="AH72" i="2" s="1"/>
  <c r="Z72" i="2"/>
  <c r="AA72" i="2" s="1"/>
  <c r="S72" i="2"/>
  <c r="T72" i="2" s="1"/>
  <c r="L72" i="2"/>
  <c r="M72" i="2" s="1"/>
  <c r="H72" i="2"/>
  <c r="E72" i="2"/>
  <c r="F72" i="2" s="1"/>
  <c r="A72" i="2"/>
  <c r="AG71" i="2"/>
  <c r="AH71" i="2" s="1"/>
  <c r="Z71" i="2"/>
  <c r="AA71" i="2" s="1"/>
  <c r="S71" i="2"/>
  <c r="T71" i="2" s="1"/>
  <c r="L71" i="2"/>
  <c r="M71" i="2" s="1"/>
  <c r="E71" i="2"/>
  <c r="F71" i="2" s="1"/>
  <c r="AG70" i="2"/>
  <c r="AH70" i="2" s="1"/>
  <c r="AC70" i="2"/>
  <c r="Z70" i="2"/>
  <c r="AA70" i="2" s="1"/>
  <c r="V70" i="2"/>
  <c r="S70" i="2"/>
  <c r="T70" i="2" s="1"/>
  <c r="O70" i="2"/>
  <c r="L70" i="2"/>
  <c r="M70" i="2" s="1"/>
  <c r="H70" i="2"/>
  <c r="E70" i="2"/>
  <c r="F70" i="2" s="1"/>
  <c r="A70" i="2"/>
  <c r="AU65" i="2"/>
  <c r="AV65" i="2" s="1"/>
  <c r="AR65" i="2"/>
  <c r="AN65" i="2"/>
  <c r="AO65" i="2" s="1"/>
  <c r="AJ65" i="2"/>
  <c r="AG65" i="2"/>
  <c r="AH65" i="2" s="1"/>
  <c r="AC65" i="2"/>
  <c r="Z65" i="2"/>
  <c r="AA65" i="2" s="1"/>
  <c r="V65" i="2"/>
  <c r="S65" i="2"/>
  <c r="T65" i="2" s="1"/>
  <c r="O65" i="2"/>
  <c r="L65" i="2"/>
  <c r="M65" i="2" s="1"/>
  <c r="H65" i="2"/>
  <c r="E65" i="2"/>
  <c r="F65" i="2" s="1"/>
  <c r="A65" i="2"/>
  <c r="AU64" i="2"/>
  <c r="AV64" i="2" s="1"/>
  <c r="AN64" i="2"/>
  <c r="AO64" i="2" s="1"/>
  <c r="AG64" i="2"/>
  <c r="AH64" i="2" s="1"/>
  <c r="Z64" i="2"/>
  <c r="AA64" i="2" s="1"/>
  <c r="S64" i="2"/>
  <c r="T64" i="2" s="1"/>
  <c r="L64" i="2"/>
  <c r="M64" i="2" s="1"/>
  <c r="H64" i="2"/>
  <c r="E64" i="2"/>
  <c r="F64" i="2" s="1"/>
  <c r="A64" i="2"/>
  <c r="AU63" i="2"/>
  <c r="AV63" i="2" s="1"/>
  <c r="AQ63" i="2"/>
  <c r="AN63" i="2"/>
  <c r="AO63" i="2" s="1"/>
  <c r="AJ63" i="2"/>
  <c r="AG63" i="2"/>
  <c r="AH63" i="2" s="1"/>
  <c r="AC63" i="2"/>
  <c r="Z63" i="2"/>
  <c r="AA63" i="2" s="1"/>
  <c r="V63" i="2"/>
  <c r="S63" i="2"/>
  <c r="T63" i="2" s="1"/>
  <c r="O63" i="2"/>
  <c r="L63" i="2"/>
  <c r="M63" i="2" s="1"/>
  <c r="H63" i="2"/>
  <c r="E63" i="2"/>
  <c r="F63" i="2" s="1"/>
  <c r="A63" i="2"/>
  <c r="BB58" i="2"/>
  <c r="BC58" i="2" s="1"/>
  <c r="AX58" i="2"/>
  <c r="AU58" i="2"/>
  <c r="AV58" i="2" s="1"/>
  <c r="AQ58" i="2"/>
  <c r="AN58" i="2"/>
  <c r="AO58" i="2" s="1"/>
  <c r="AJ58" i="2"/>
  <c r="AG58" i="2"/>
  <c r="AH58" i="2" s="1"/>
  <c r="AC58" i="2"/>
  <c r="Z58" i="2"/>
  <c r="AA58" i="2" s="1"/>
  <c r="V58" i="2"/>
  <c r="S58" i="2"/>
  <c r="T58" i="2" s="1"/>
  <c r="O58" i="2"/>
  <c r="L58" i="2"/>
  <c r="M58" i="2" s="1"/>
  <c r="H58" i="2"/>
  <c r="E58" i="2"/>
  <c r="F58" i="2" s="1"/>
  <c r="A58" i="2"/>
  <c r="BB57" i="2"/>
  <c r="BC57" i="2" s="1"/>
  <c r="AU57" i="2"/>
  <c r="AV57" i="2" s="1"/>
  <c r="AN57" i="2"/>
  <c r="AO57" i="2" s="1"/>
  <c r="AG57" i="2"/>
  <c r="AH57" i="2" s="1"/>
  <c r="Z57" i="2"/>
  <c r="AA57" i="2" s="1"/>
  <c r="S57" i="2"/>
  <c r="T57" i="2" s="1"/>
  <c r="L57" i="2"/>
  <c r="M57" i="2" s="1"/>
  <c r="H57" i="2"/>
  <c r="E57" i="2"/>
  <c r="F57" i="2" s="1"/>
  <c r="A57" i="2"/>
  <c r="BB56" i="2"/>
  <c r="BC56" i="2" s="1"/>
  <c r="AU56" i="2"/>
  <c r="AV56" i="2" s="1"/>
  <c r="AN56" i="2"/>
  <c r="AO56" i="2" s="1"/>
  <c r="AG56" i="2"/>
  <c r="AH56" i="2" s="1"/>
  <c r="Z56" i="2"/>
  <c r="AA56" i="2" s="1"/>
  <c r="S56" i="2"/>
  <c r="T56" i="2" s="1"/>
  <c r="L56" i="2"/>
  <c r="M56" i="2" s="1"/>
  <c r="E56" i="2"/>
  <c r="F56" i="2" s="1"/>
  <c r="Z51" i="2"/>
  <c r="AA51" i="2" s="1"/>
  <c r="V51" i="2"/>
  <c r="S51" i="2"/>
  <c r="T51" i="2" s="1"/>
  <c r="O51" i="2"/>
  <c r="L51" i="2"/>
  <c r="M51" i="2" s="1"/>
  <c r="H51" i="2"/>
  <c r="E51" i="2"/>
  <c r="F51" i="2" s="1"/>
  <c r="A51" i="2"/>
  <c r="Z50" i="2"/>
  <c r="AA50" i="2" s="1"/>
  <c r="S50" i="2"/>
  <c r="T50" i="2" s="1"/>
  <c r="L50" i="2"/>
  <c r="M50" i="2" s="1"/>
  <c r="E50" i="2"/>
  <c r="F50" i="2" s="1"/>
  <c r="Z49" i="2"/>
  <c r="AA49" i="2" s="1"/>
  <c r="S49" i="2"/>
  <c r="T49" i="2" s="1"/>
  <c r="L49" i="2"/>
  <c r="M49" i="2" s="1"/>
  <c r="E49" i="2"/>
  <c r="F49" i="2" s="1"/>
  <c r="Z48" i="2"/>
  <c r="AA48" i="2" s="1"/>
  <c r="S48" i="2"/>
  <c r="T48" i="2" s="1"/>
  <c r="L48" i="2"/>
  <c r="M48" i="2" s="1"/>
  <c r="E48" i="2"/>
  <c r="F48" i="2" s="1"/>
  <c r="S43" i="2"/>
  <c r="T43" i="2" s="1"/>
  <c r="O43" i="2"/>
  <c r="L43" i="2"/>
  <c r="M43" i="2" s="1"/>
  <c r="H43" i="2"/>
  <c r="E43" i="2"/>
  <c r="F43" i="2" s="1"/>
  <c r="A43" i="2"/>
  <c r="S42" i="2"/>
  <c r="T42" i="2" s="1"/>
  <c r="L42" i="2"/>
  <c r="M42" i="2" s="1"/>
  <c r="E42" i="2"/>
  <c r="F42" i="2" s="1"/>
  <c r="S41" i="2"/>
  <c r="T41" i="2" s="1"/>
  <c r="L41" i="2"/>
  <c r="M41" i="2" s="1"/>
  <c r="E41" i="2"/>
  <c r="F41" i="2" s="1"/>
  <c r="E36" i="2"/>
  <c r="F36" i="2" s="1"/>
  <c r="A36" i="2"/>
  <c r="E35" i="2"/>
  <c r="F35" i="2" s="1"/>
  <c r="E30" i="2"/>
  <c r="F30" i="2" s="1"/>
  <c r="A30" i="2"/>
  <c r="E29" i="2"/>
  <c r="F29" i="2" s="1"/>
  <c r="A29" i="2"/>
  <c r="E24" i="2"/>
  <c r="F24" i="2" s="1"/>
  <c r="A24" i="2"/>
  <c r="E23" i="2"/>
  <c r="F23" i="2" s="1"/>
  <c r="E18" i="2"/>
  <c r="F18" i="2" s="1"/>
  <c r="A18" i="2"/>
  <c r="E17" i="2"/>
  <c r="F17" i="2" s="1"/>
  <c r="A17" i="2"/>
  <c r="E12" i="2"/>
  <c r="F12" i="2" s="1"/>
  <c r="A12" i="2"/>
  <c r="E11" i="2"/>
  <c r="F11" i="2" s="1"/>
  <c r="E6" i="2"/>
  <c r="F6" i="2" s="1"/>
  <c r="A6" i="2"/>
  <c r="E5" i="2"/>
  <c r="E80" i="2" s="1"/>
  <c r="F80" i="2" s="1"/>
  <c r="A5" i="2"/>
  <c r="E4" i="2"/>
  <c r="E79" i="2" s="1"/>
  <c r="F79" i="2" s="1"/>
  <c r="A4" i="2"/>
  <c r="AA13" i="1"/>
  <c r="F80" i="1"/>
  <c r="H78" i="1"/>
  <c r="H77" i="1"/>
  <c r="K63" i="1"/>
  <c r="H63" i="1"/>
  <c r="D63" i="1"/>
  <c r="A63" i="1"/>
  <c r="L55" i="1"/>
  <c r="M55" i="1" s="1"/>
  <c r="H55" i="1"/>
  <c r="E55" i="1"/>
  <c r="F55" i="1" s="1"/>
  <c r="A55" i="1"/>
  <c r="L54" i="1"/>
  <c r="M54" i="1" s="1"/>
  <c r="H54" i="1"/>
  <c r="E54" i="1"/>
  <c r="F54" i="1" s="1"/>
  <c r="A54" i="1"/>
  <c r="L53" i="1"/>
  <c r="M53" i="1" s="1"/>
  <c r="H53" i="1"/>
  <c r="E53" i="1"/>
  <c r="F53" i="1" s="1"/>
  <c r="A53" i="1"/>
  <c r="O33" i="1"/>
  <c r="O32" i="1"/>
  <c r="H32" i="1"/>
  <c r="A32" i="1"/>
  <c r="O27" i="1"/>
  <c r="R16" i="1"/>
  <c r="O16" i="1"/>
  <c r="K16" i="1"/>
  <c r="H16" i="1"/>
  <c r="A16" i="1"/>
  <c r="T13" i="1"/>
  <c r="M13" i="1"/>
  <c r="E7" i="1"/>
  <c r="F7" i="1" s="1"/>
  <c r="A7" i="1"/>
  <c r="E6" i="1"/>
  <c r="F6" i="1" s="1"/>
  <c r="A6" i="1"/>
  <c r="C86" i="5" l="1"/>
  <c r="C35" i="5"/>
  <c r="F49" i="3"/>
  <c r="F14" i="3"/>
  <c r="F66" i="2"/>
  <c r="M90" i="2"/>
  <c r="E6" i="3"/>
  <c r="F6" i="3" s="1"/>
  <c r="F90" i="2"/>
  <c r="F101" i="2"/>
  <c r="F104" i="2"/>
  <c r="K101" i="2"/>
  <c r="M101" i="2" s="1"/>
  <c r="O101" i="2" s="1"/>
  <c r="K107" i="2"/>
  <c r="M107" i="2" s="1"/>
  <c r="O107" i="2" s="1"/>
  <c r="AA59" i="2"/>
  <c r="M66" i="2"/>
  <c r="T52" i="2"/>
  <c r="K99" i="2"/>
  <c r="M99" i="2" s="1"/>
  <c r="O99" i="2" s="1"/>
  <c r="K103" i="2"/>
  <c r="M103" i="2" s="1"/>
  <c r="O103" i="2" s="1"/>
  <c r="AV59" i="2"/>
  <c r="F102" i="2"/>
  <c r="K109" i="2"/>
  <c r="M109" i="2" s="1"/>
  <c r="O109" i="2" s="1"/>
  <c r="F13" i="2"/>
  <c r="BW498" i="1" s="1"/>
  <c r="BX498" i="1" s="1"/>
  <c r="BX501" i="1" s="1"/>
  <c r="BX503" i="1" s="1"/>
  <c r="K105" i="2"/>
  <c r="M105" i="2" s="1"/>
  <c r="O105" i="2" s="1"/>
  <c r="Q104" i="2" s="1"/>
  <c r="C99" i="2" s="1"/>
  <c r="F99" i="2" s="1"/>
  <c r="AA52" i="2"/>
  <c r="AH74" i="2"/>
  <c r="T74" i="2"/>
  <c r="F25" i="2"/>
  <c r="E499" i="1" s="1"/>
  <c r="F499" i="1" s="1"/>
  <c r="T44" i="2"/>
  <c r="AH59" i="2"/>
  <c r="T66" i="2"/>
  <c r="Z498" i="1" s="1"/>
  <c r="AA66" i="2"/>
  <c r="E498" i="1" s="1"/>
  <c r="F498" i="1" s="1"/>
  <c r="AA74" i="2"/>
  <c r="F59" i="2"/>
  <c r="M59" i="2"/>
  <c r="M74" i="2"/>
  <c r="M44" i="2"/>
  <c r="AH66" i="2"/>
  <c r="AV66" i="2"/>
  <c r="K97" i="2"/>
  <c r="M97" i="2" s="1"/>
  <c r="O97" i="2" s="1"/>
  <c r="F103" i="2"/>
  <c r="C134" i="5"/>
  <c r="F28" i="3"/>
  <c r="AG82" i="2" s="1"/>
  <c r="AH82" i="2" s="1"/>
  <c r="F41" i="3"/>
  <c r="F42" i="3" s="1"/>
  <c r="C131" i="5"/>
  <c r="M60" i="1"/>
  <c r="F37" i="2"/>
  <c r="AA498" i="1" s="1"/>
  <c r="AA501" i="1" s="1"/>
  <c r="AA503" i="1" s="1"/>
  <c r="F21" i="3"/>
  <c r="AO59" i="2"/>
  <c r="F19" i="2"/>
  <c r="F44" i="2"/>
  <c r="F13" i="1"/>
  <c r="F60" i="1"/>
  <c r="F31" i="2"/>
  <c r="T59" i="2"/>
  <c r="BC59" i="2"/>
  <c r="F35" i="3"/>
  <c r="C105" i="5"/>
  <c r="C125" i="5" s="1"/>
  <c r="F52" i="2"/>
  <c r="M52" i="2"/>
  <c r="AO66" i="2"/>
  <c r="F74" i="2"/>
  <c r="F4" i="2"/>
  <c r="C29" i="5"/>
  <c r="C38" i="5"/>
  <c r="C42" i="5" s="1"/>
  <c r="C57" i="5"/>
  <c r="C77" i="5" s="1"/>
  <c r="E4" i="3"/>
  <c r="F4" i="3" s="1"/>
  <c r="C30" i="5"/>
  <c r="C31" i="5"/>
  <c r="D84" i="5"/>
  <c r="C83" i="5" s="1"/>
  <c r="C137" i="5"/>
  <c r="F5" i="2"/>
  <c r="E5" i="3"/>
  <c r="F5" i="3" s="1"/>
  <c r="S89" i="2" l="1"/>
  <c r="T89" i="2" s="1"/>
  <c r="Z89" i="2"/>
  <c r="AA89" i="2" s="1"/>
  <c r="AG484" i="1"/>
  <c r="AH484" i="1" s="1"/>
  <c r="AG493" i="1" s="1"/>
  <c r="AH493" i="1" s="1"/>
  <c r="AH495" i="1" s="1"/>
  <c r="CD484" i="1"/>
  <c r="CE484" i="1" s="1"/>
  <c r="BB484" i="1"/>
  <c r="BC484" i="1" s="1"/>
  <c r="AU484" i="1"/>
  <c r="AV484" i="1" s="1"/>
  <c r="S484" i="1"/>
  <c r="T484" i="1" s="1"/>
  <c r="L484" i="1"/>
  <c r="M484" i="1" s="1"/>
  <c r="W123" i="2"/>
  <c r="X123" i="2" s="1"/>
  <c r="BG123" i="2"/>
  <c r="BH123" i="2" s="1"/>
  <c r="BY123" i="2"/>
  <c r="BZ123" i="2" s="1"/>
  <c r="AO123" i="2"/>
  <c r="AP123" i="2" s="1"/>
  <c r="AN32" i="1"/>
  <c r="AO32" i="1" s="1"/>
  <c r="AO34" i="1" s="1"/>
  <c r="BP449" i="1"/>
  <c r="BQ449" i="1" s="1"/>
  <c r="BQ455" i="1" s="1"/>
  <c r="E35" i="6"/>
  <c r="E109" i="6"/>
  <c r="E116" i="6"/>
  <c r="E42" i="6"/>
  <c r="L78" i="1"/>
  <c r="M78" i="1" s="1"/>
  <c r="BI499" i="1"/>
  <c r="BJ499" i="1" s="1"/>
  <c r="BP498" i="1"/>
  <c r="BQ498" i="1" s="1"/>
  <c r="BQ501" i="1" s="1"/>
  <c r="L63" i="1"/>
  <c r="M63" i="1" s="1"/>
  <c r="L68" i="1" s="1"/>
  <c r="M68" i="1" s="1"/>
  <c r="M69" i="1" s="1"/>
  <c r="BP484" i="1"/>
  <c r="BQ484" i="1" s="1"/>
  <c r="E484" i="1"/>
  <c r="F484" i="1" s="1"/>
  <c r="BI484" i="1"/>
  <c r="BJ484" i="1" s="1"/>
  <c r="AH486" i="1"/>
  <c r="AG489" i="1"/>
  <c r="AH489" i="1" s="1"/>
  <c r="AH490" i="1" s="1"/>
  <c r="W121" i="2"/>
  <c r="X121" i="2" s="1"/>
  <c r="W122" i="2"/>
  <c r="X122" i="2" s="1"/>
  <c r="F501" i="1"/>
  <c r="E108" i="1"/>
  <c r="F108" i="1" s="1"/>
  <c r="L108" i="1"/>
  <c r="M108" i="1" s="1"/>
  <c r="S108" i="1"/>
  <c r="T108" i="1" s="1"/>
  <c r="E63" i="1"/>
  <c r="F63" i="1" s="1"/>
  <c r="E68" i="1" s="1"/>
  <c r="F68" i="1" s="1"/>
  <c r="F69" i="1" s="1"/>
  <c r="S63" i="1"/>
  <c r="T63" i="1" s="1"/>
  <c r="BI82" i="2"/>
  <c r="BJ82" i="2" s="1"/>
  <c r="BI84" i="2" s="1"/>
  <c r="BJ84" i="2" s="1"/>
  <c r="CD82" i="2"/>
  <c r="CE82" i="2" s="1"/>
  <c r="CD84" i="2" s="1"/>
  <c r="CE84" i="2" s="1"/>
  <c r="BP82" i="2"/>
  <c r="BQ82" i="2" s="1"/>
  <c r="BP84" i="2" s="1"/>
  <c r="BQ84" i="2" s="1"/>
  <c r="BW82" i="2"/>
  <c r="BX82" i="2" s="1"/>
  <c r="BW84" i="2" s="1"/>
  <c r="BX84" i="2" s="1"/>
  <c r="E107" i="2"/>
  <c r="F107" i="2" s="1"/>
  <c r="E106" i="2" s="1"/>
  <c r="F106" i="2" s="1"/>
  <c r="E123" i="2"/>
  <c r="F123" i="2" s="1"/>
  <c r="Q105" i="2"/>
  <c r="C100" i="2" s="1"/>
  <c r="F100" i="2" s="1"/>
  <c r="Q103" i="2"/>
  <c r="C98" i="2" s="1"/>
  <c r="F98" i="2" s="1"/>
  <c r="S93" i="2"/>
  <c r="T93" i="2" s="1"/>
  <c r="S92" i="2"/>
  <c r="T92" i="2" s="1"/>
  <c r="C90" i="5"/>
  <c r="E89" i="2"/>
  <c r="F89" i="2" s="1"/>
  <c r="E92" i="2" s="1"/>
  <c r="F92" i="2" s="1"/>
  <c r="L89" i="2"/>
  <c r="M89" i="2" s="1"/>
  <c r="CR82" i="2"/>
  <c r="CS82" i="2" s="1"/>
  <c r="CR84" i="2" s="1"/>
  <c r="CS84" i="2" s="1"/>
  <c r="CY82" i="2"/>
  <c r="CZ82" i="2" s="1"/>
  <c r="CY84" i="2" s="1"/>
  <c r="CZ84" i="2" s="1"/>
  <c r="DF82" i="2"/>
  <c r="DG82" i="2" s="1"/>
  <c r="DF84" i="2" s="1"/>
  <c r="DG84" i="2" s="1"/>
  <c r="CK82" i="2"/>
  <c r="CL82" i="2" s="1"/>
  <c r="CK84" i="2" s="1"/>
  <c r="CL84" i="2" s="1"/>
  <c r="C126" i="5"/>
  <c r="L82" i="2"/>
  <c r="M82" i="2" s="1"/>
  <c r="L84" i="2" s="1"/>
  <c r="M84" i="2" s="1"/>
  <c r="S82" i="2"/>
  <c r="T82" i="2" s="1"/>
  <c r="S84" i="2" s="1"/>
  <c r="T84" i="2" s="1"/>
  <c r="Z82" i="2"/>
  <c r="AA82" i="2" s="1"/>
  <c r="Z84" i="2" s="1"/>
  <c r="AA84" i="2" s="1"/>
  <c r="E82" i="2"/>
  <c r="F82" i="2" s="1"/>
  <c r="E83" i="2" s="1"/>
  <c r="F83" i="2" s="1"/>
  <c r="C127" i="5"/>
  <c r="AN82" i="2"/>
  <c r="AO82" i="2" s="1"/>
  <c r="AN84" i="2" s="1"/>
  <c r="AO84" i="2" s="1"/>
  <c r="AU82" i="2"/>
  <c r="AV82" i="2" s="1"/>
  <c r="AU84" i="2" s="1"/>
  <c r="AV84" i="2" s="1"/>
  <c r="BB82" i="2"/>
  <c r="BC82" i="2" s="1"/>
  <c r="BB83" i="2" s="1"/>
  <c r="BC83" i="2" s="1"/>
  <c r="C80" i="5"/>
  <c r="C79" i="5"/>
  <c r="F7" i="2"/>
  <c r="BW451" i="1" s="1"/>
  <c r="BX451" i="1" s="1"/>
  <c r="C128" i="5"/>
  <c r="C78" i="5"/>
  <c r="F7" i="3"/>
  <c r="C32" i="5"/>
  <c r="C33" i="5" s="1"/>
  <c r="C47" i="5" s="1"/>
  <c r="C138" i="5"/>
  <c r="AG84" i="2"/>
  <c r="AH84" i="2" s="1"/>
  <c r="AG83" i="2"/>
  <c r="AH83" i="2" s="1"/>
  <c r="L489" i="1" l="1"/>
  <c r="M489" i="1" s="1"/>
  <c r="M490" i="1" s="1"/>
  <c r="M486" i="1"/>
  <c r="L493" i="1"/>
  <c r="M493" i="1" s="1"/>
  <c r="M495" i="1" s="1"/>
  <c r="M503" i="1" s="1"/>
  <c r="BY122" i="2"/>
  <c r="BZ122" i="2" s="1"/>
  <c r="BY121" i="2"/>
  <c r="BZ121" i="2" s="1"/>
  <c r="S489" i="1"/>
  <c r="T489" i="1" s="1"/>
  <c r="T490" i="1" s="1"/>
  <c r="T486" i="1"/>
  <c r="S493" i="1"/>
  <c r="T493" i="1" s="1"/>
  <c r="T495" i="1" s="1"/>
  <c r="CD493" i="1"/>
  <c r="CE493" i="1" s="1"/>
  <c r="CE495" i="1" s="1"/>
  <c r="CE486" i="1"/>
  <c r="CD489" i="1"/>
  <c r="CE489" i="1" s="1"/>
  <c r="CE490" i="1" s="1"/>
  <c r="BG122" i="2"/>
  <c r="BH122" i="2" s="1"/>
  <c r="BG121" i="2"/>
  <c r="BH121" i="2" s="1"/>
  <c r="AU493" i="1"/>
  <c r="AV493" i="1" s="1"/>
  <c r="AV495" i="1" s="1"/>
  <c r="AV486" i="1"/>
  <c r="AU489" i="1"/>
  <c r="AV489" i="1" s="1"/>
  <c r="AV490" i="1" s="1"/>
  <c r="Z93" i="2"/>
  <c r="AA93" i="2" s="1"/>
  <c r="Z92" i="2"/>
  <c r="AA92" i="2" s="1"/>
  <c r="AA94" i="2"/>
  <c r="AN16" i="1"/>
  <c r="AO16" i="1" s="1"/>
  <c r="CD435" i="1"/>
  <c r="CE435" i="1" s="1"/>
  <c r="BW435" i="1"/>
  <c r="BX435" i="1" s="1"/>
  <c r="BP435" i="1"/>
  <c r="BQ435" i="1" s="1"/>
  <c r="BB435" i="1"/>
  <c r="BC435" i="1" s="1"/>
  <c r="AN435" i="1"/>
  <c r="AO435" i="1" s="1"/>
  <c r="BI435" i="1"/>
  <c r="BJ435" i="1" s="1"/>
  <c r="AU435" i="1"/>
  <c r="AV435" i="1" s="1"/>
  <c r="S389" i="1"/>
  <c r="T389" i="1" s="1"/>
  <c r="L389" i="1"/>
  <c r="AG435" i="1"/>
  <c r="AH435" i="1" s="1"/>
  <c r="AO122" i="2"/>
  <c r="AP122" i="2" s="1"/>
  <c r="AO121" i="2"/>
  <c r="AP121" i="2" s="1"/>
  <c r="BB493" i="1"/>
  <c r="BC493" i="1" s="1"/>
  <c r="BC495" i="1" s="1"/>
  <c r="BB489" i="1"/>
  <c r="BC489" i="1" s="1"/>
  <c r="BC490" i="1" s="1"/>
  <c r="BC486" i="1"/>
  <c r="M65" i="1"/>
  <c r="L72" i="1"/>
  <c r="M72" i="1" s="1"/>
  <c r="M74" i="1" s="1"/>
  <c r="X124" i="2"/>
  <c r="AU452" i="1" s="1"/>
  <c r="AV452" i="1" s="1"/>
  <c r="BJ486" i="1"/>
  <c r="BI489" i="1"/>
  <c r="BJ489" i="1" s="1"/>
  <c r="BJ490" i="1" s="1"/>
  <c r="BI493" i="1"/>
  <c r="BJ493" i="1" s="1"/>
  <c r="BJ495" i="1" s="1"/>
  <c r="E493" i="1"/>
  <c r="F493" i="1" s="1"/>
  <c r="F495" i="1" s="1"/>
  <c r="E489" i="1"/>
  <c r="F489" i="1" s="1"/>
  <c r="F490" i="1" s="1"/>
  <c r="F486" i="1"/>
  <c r="S435" i="1"/>
  <c r="T435" i="1" s="1"/>
  <c r="Z435" i="1"/>
  <c r="AA435" i="1" s="1"/>
  <c r="L435" i="1"/>
  <c r="M435" i="1" s="1"/>
  <c r="E435" i="1"/>
  <c r="F435" i="1" s="1"/>
  <c r="M389" i="1"/>
  <c r="E389" i="1"/>
  <c r="F389" i="1" s="1"/>
  <c r="BQ486" i="1"/>
  <c r="BP493" i="1"/>
  <c r="BQ493" i="1" s="1"/>
  <c r="BQ495" i="1" s="1"/>
  <c r="BP489" i="1"/>
  <c r="BQ489" i="1" s="1"/>
  <c r="BQ490" i="1" s="1"/>
  <c r="AG358" i="1"/>
  <c r="AH358" i="1" s="1"/>
  <c r="AH361" i="1" s="1"/>
  <c r="AH363" i="1" s="1"/>
  <c r="E9" i="6" s="1"/>
  <c r="Z354" i="1"/>
  <c r="AA354" i="1" s="1"/>
  <c r="AA355" i="1" s="1"/>
  <c r="AA363" i="1" s="1"/>
  <c r="E8" i="6" s="1"/>
  <c r="L451" i="1"/>
  <c r="M451" i="1" s="1"/>
  <c r="M456" i="1" s="1"/>
  <c r="BI498" i="1"/>
  <c r="BJ498" i="1" s="1"/>
  <c r="BJ501" i="1" s="1"/>
  <c r="AH503" i="1"/>
  <c r="F65" i="1"/>
  <c r="E72" i="1"/>
  <c r="F72" i="1" s="1"/>
  <c r="F74" i="1" s="1"/>
  <c r="BI83" i="2"/>
  <c r="BJ83" i="2" s="1"/>
  <c r="BJ85" i="2" s="1"/>
  <c r="T94" i="2"/>
  <c r="L405" i="1" s="1"/>
  <c r="M405" i="1" s="1"/>
  <c r="BP83" i="2"/>
  <c r="BQ83" i="2" s="1"/>
  <c r="BQ85" i="2" s="1"/>
  <c r="S117" i="1"/>
  <c r="T117" i="1" s="1"/>
  <c r="T119" i="1" s="1"/>
  <c r="T110" i="1"/>
  <c r="S113" i="1"/>
  <c r="T113" i="1" s="1"/>
  <c r="T114" i="1" s="1"/>
  <c r="L113" i="1"/>
  <c r="M113" i="1" s="1"/>
  <c r="M114" i="1" s="1"/>
  <c r="L117" i="1"/>
  <c r="M117" i="1" s="1"/>
  <c r="M119" i="1" s="1"/>
  <c r="M110" i="1"/>
  <c r="E113" i="1"/>
  <c r="F113" i="1" s="1"/>
  <c r="F114" i="1" s="1"/>
  <c r="E117" i="1"/>
  <c r="F117" i="1" s="1"/>
  <c r="F119" i="1" s="1"/>
  <c r="F110" i="1"/>
  <c r="Z16" i="1"/>
  <c r="AA16" i="1" s="1"/>
  <c r="Z21" i="1" s="1"/>
  <c r="AA21" i="1" s="1"/>
  <c r="AA22" i="1" s="1"/>
  <c r="AG16" i="1"/>
  <c r="AH16" i="1" s="1"/>
  <c r="Z63" i="1"/>
  <c r="AA63" i="1" s="1"/>
  <c r="BW83" i="2"/>
  <c r="BX83" i="2" s="1"/>
  <c r="BX85" i="2" s="1"/>
  <c r="L212" i="1"/>
  <c r="M212" i="1" s="1"/>
  <c r="M215" i="1" s="1"/>
  <c r="M217" i="1" s="1"/>
  <c r="E208" i="1"/>
  <c r="F208" i="1" s="1"/>
  <c r="F209" i="1" s="1"/>
  <c r="F217" i="1" s="1"/>
  <c r="CD83" i="2"/>
  <c r="CE83" i="2" s="1"/>
  <c r="CE85" i="2" s="1"/>
  <c r="E105" i="2"/>
  <c r="F105" i="2" s="1"/>
  <c r="F108" i="2" s="1"/>
  <c r="CD451" i="1" s="1"/>
  <c r="CE451" i="1" s="1"/>
  <c r="S68" i="1"/>
  <c r="T68" i="1" s="1"/>
  <c r="T69" i="1" s="1"/>
  <c r="S72" i="1"/>
  <c r="T72" i="1" s="1"/>
  <c r="T74" i="1" s="1"/>
  <c r="T65" i="1"/>
  <c r="DF83" i="2"/>
  <c r="DG83" i="2" s="1"/>
  <c r="DG85" i="2" s="1"/>
  <c r="E84" i="2"/>
  <c r="F84" i="2" s="1"/>
  <c r="F85" i="2" s="1"/>
  <c r="E452" i="1" s="1"/>
  <c r="F452" i="1" s="1"/>
  <c r="AN83" i="2"/>
  <c r="AO83" i="2" s="1"/>
  <c r="AO85" i="2" s="1"/>
  <c r="C81" i="5"/>
  <c r="C95" i="5" s="1"/>
  <c r="E122" i="2"/>
  <c r="F122" i="2" s="1"/>
  <c r="E121" i="2"/>
  <c r="F121" i="2" s="1"/>
  <c r="Z83" i="2"/>
  <c r="AA83" i="2" s="1"/>
  <c r="AA85" i="2" s="1"/>
  <c r="S83" i="2"/>
  <c r="T83" i="2" s="1"/>
  <c r="T85" i="2" s="1"/>
  <c r="E93" i="2"/>
  <c r="F93" i="2" s="1"/>
  <c r="F94" i="2" s="1"/>
  <c r="CY83" i="2"/>
  <c r="CZ83" i="2" s="1"/>
  <c r="CZ85" i="2" s="1"/>
  <c r="CK83" i="2"/>
  <c r="CL83" i="2" s="1"/>
  <c r="CL85" i="2" s="1"/>
  <c r="S403" i="1" s="1"/>
  <c r="T403" i="1" s="1"/>
  <c r="L83" i="2"/>
  <c r="M83" i="2" s="1"/>
  <c r="M85" i="2" s="1"/>
  <c r="AU83" i="2"/>
  <c r="AV83" i="2" s="1"/>
  <c r="AV85" i="2" s="1"/>
  <c r="BB84" i="2"/>
  <c r="BC84" i="2" s="1"/>
  <c r="BC85" i="2" s="1"/>
  <c r="L93" i="2"/>
  <c r="M93" i="2" s="1"/>
  <c r="L92" i="2"/>
  <c r="M92" i="2" s="1"/>
  <c r="C129" i="5"/>
  <c r="C143" i="5" s="1"/>
  <c r="CR83" i="2"/>
  <c r="CS83" i="2" s="1"/>
  <c r="CS85" i="2" s="1"/>
  <c r="AH85" i="2"/>
  <c r="L16" i="1"/>
  <c r="M16" i="1" s="1"/>
  <c r="S16" i="1"/>
  <c r="T16" i="1" s="1"/>
  <c r="E16" i="1"/>
  <c r="F16" i="1" s="1"/>
  <c r="L77" i="1"/>
  <c r="M77" i="1" s="1"/>
  <c r="M80" i="1" s="1"/>
  <c r="E32" i="1"/>
  <c r="F32" i="1" s="1"/>
  <c r="F35" i="1" s="1"/>
  <c r="M82" i="1" l="1"/>
  <c r="AV503" i="1"/>
  <c r="E38" i="6" s="1"/>
  <c r="AU449" i="1"/>
  <c r="AV449" i="1" s="1"/>
  <c r="AG449" i="1"/>
  <c r="AH449" i="1" s="1"/>
  <c r="BB449" i="1"/>
  <c r="BC449" i="1" s="1"/>
  <c r="BI449" i="1"/>
  <c r="BJ449" i="1" s="1"/>
  <c r="AN449" i="1"/>
  <c r="AO449" i="1" s="1"/>
  <c r="Z30" i="1"/>
  <c r="AA30" i="1" s="1"/>
  <c r="AU440" i="1"/>
  <c r="AV440" i="1" s="1"/>
  <c r="AV441" i="1" s="1"/>
  <c r="AU444" i="1"/>
  <c r="AV444" i="1" s="1"/>
  <c r="AV437" i="1"/>
  <c r="AN450" i="1"/>
  <c r="AO450" i="1" s="1"/>
  <c r="AG451" i="1"/>
  <c r="AH451" i="1" s="1"/>
  <c r="AG450" i="1"/>
  <c r="AH450" i="1" s="1"/>
  <c r="AG444" i="1"/>
  <c r="AH444" i="1" s="1"/>
  <c r="AH437" i="1"/>
  <c r="AG440" i="1"/>
  <c r="AH440" i="1" s="1"/>
  <c r="AH441" i="1" s="1"/>
  <c r="BI444" i="1"/>
  <c r="BJ444" i="1" s="1"/>
  <c r="BI440" i="1"/>
  <c r="BJ440" i="1" s="1"/>
  <c r="BJ441" i="1" s="1"/>
  <c r="BJ437" i="1"/>
  <c r="BW441" i="1"/>
  <c r="BX441" i="1" s="1"/>
  <c r="BX442" i="1" s="1"/>
  <c r="BX438" i="1"/>
  <c r="BW445" i="1"/>
  <c r="BX445" i="1" s="1"/>
  <c r="BX448" i="1" s="1"/>
  <c r="T503" i="1"/>
  <c r="E107" i="6"/>
  <c r="BP444" i="1"/>
  <c r="BQ444" i="1" s="1"/>
  <c r="BQ437" i="1"/>
  <c r="BP440" i="1"/>
  <c r="BQ440" i="1" s="1"/>
  <c r="BQ441" i="1" s="1"/>
  <c r="E112" i="6"/>
  <c r="CD446" i="1"/>
  <c r="CE446" i="1" s="1"/>
  <c r="BP445" i="1"/>
  <c r="BQ445" i="1" s="1"/>
  <c r="BI445" i="1"/>
  <c r="BJ445" i="1" s="1"/>
  <c r="AG445" i="1"/>
  <c r="AH445" i="1" s="1"/>
  <c r="S399" i="1"/>
  <c r="T399" i="1" s="1"/>
  <c r="AN445" i="1"/>
  <c r="AO445" i="1" s="1"/>
  <c r="BB445" i="1"/>
  <c r="BC445" i="1" s="1"/>
  <c r="AU445" i="1"/>
  <c r="AV445" i="1" s="1"/>
  <c r="BC503" i="1"/>
  <c r="AN440" i="1"/>
  <c r="AO440" i="1" s="1"/>
  <c r="AO441" i="1" s="1"/>
  <c r="AN444" i="1"/>
  <c r="AO444" i="1" s="1"/>
  <c r="AO437" i="1"/>
  <c r="CE438" i="1"/>
  <c r="CD445" i="1"/>
  <c r="CE445" i="1" s="1"/>
  <c r="CE448" i="1" s="1"/>
  <c r="CD441" i="1"/>
  <c r="CE441" i="1" s="1"/>
  <c r="CE442" i="1" s="1"/>
  <c r="BH124" i="2"/>
  <c r="AN452" i="1" s="1"/>
  <c r="AO452" i="1" s="1"/>
  <c r="CE503" i="1"/>
  <c r="E156" i="6" s="1"/>
  <c r="BW454" i="1"/>
  <c r="BX454" i="1" s="1"/>
  <c r="CD452" i="1"/>
  <c r="CE452" i="1" s="1"/>
  <c r="CE456" i="1" s="1"/>
  <c r="BI452" i="1"/>
  <c r="BJ452" i="1" s="1"/>
  <c r="AN451" i="1"/>
  <c r="AO451" i="1" s="1"/>
  <c r="E110" i="6"/>
  <c r="E36" i="6"/>
  <c r="AP124" i="2"/>
  <c r="AG452" i="1" s="1"/>
  <c r="AH452" i="1" s="1"/>
  <c r="S398" i="1"/>
  <c r="T398" i="1" s="1"/>
  <c r="T400" i="1" s="1"/>
  <c r="T391" i="1"/>
  <c r="S394" i="1"/>
  <c r="T394" i="1" s="1"/>
  <c r="T395" i="1" s="1"/>
  <c r="BB440" i="1"/>
  <c r="BC440" i="1" s="1"/>
  <c r="BC441" i="1" s="1"/>
  <c r="BB444" i="1"/>
  <c r="BC444" i="1" s="1"/>
  <c r="BC437" i="1"/>
  <c r="AO19" i="1"/>
  <c r="AN26" i="1"/>
  <c r="AO26" i="1" s="1"/>
  <c r="AO29" i="1" s="1"/>
  <c r="AN22" i="1"/>
  <c r="AO22" i="1" s="1"/>
  <c r="AO23" i="1" s="1"/>
  <c r="BZ124" i="2"/>
  <c r="F503" i="1"/>
  <c r="BJ503" i="1"/>
  <c r="L406" i="1"/>
  <c r="M406" i="1" s="1"/>
  <c r="S406" i="1"/>
  <c r="T406" i="1" s="1"/>
  <c r="F82" i="1"/>
  <c r="BQ503" i="1"/>
  <c r="Z445" i="1"/>
  <c r="AA445" i="1" s="1"/>
  <c r="Z441" i="1"/>
  <c r="AA441" i="1" s="1"/>
  <c r="AA442" i="1" s="1"/>
  <c r="AA438" i="1"/>
  <c r="AG27" i="1"/>
  <c r="Z446" i="1"/>
  <c r="AA446" i="1" s="1"/>
  <c r="S446" i="1"/>
  <c r="T446" i="1" s="1"/>
  <c r="E446" i="1"/>
  <c r="F446" i="1" s="1"/>
  <c r="L399" i="1"/>
  <c r="M399" i="1" s="1"/>
  <c r="E395" i="1"/>
  <c r="F395" i="1" s="1"/>
  <c r="F396" i="1" s="1"/>
  <c r="E399" i="1"/>
  <c r="F399" i="1" s="1"/>
  <c r="F402" i="1" s="1"/>
  <c r="F392" i="1"/>
  <c r="L394" i="1"/>
  <c r="M394" i="1" s="1"/>
  <c r="M395" i="1" s="1"/>
  <c r="L398" i="1"/>
  <c r="M398" i="1" s="1"/>
  <c r="M391" i="1"/>
  <c r="S445" i="1"/>
  <c r="T445" i="1" s="1"/>
  <c r="S441" i="1"/>
  <c r="T441" i="1" s="1"/>
  <c r="T442" i="1" s="1"/>
  <c r="T438" i="1"/>
  <c r="E445" i="1"/>
  <c r="F445" i="1" s="1"/>
  <c r="E441" i="1"/>
  <c r="F441" i="1" s="1"/>
  <c r="F442" i="1" s="1"/>
  <c r="F438" i="1"/>
  <c r="L441" i="1"/>
  <c r="M441" i="1" s="1"/>
  <c r="M442" i="1" s="1"/>
  <c r="M438" i="1"/>
  <c r="L445" i="1"/>
  <c r="M445" i="1" s="1"/>
  <c r="M448" i="1" s="1"/>
  <c r="Z25" i="1"/>
  <c r="AA25" i="1" s="1"/>
  <c r="AA18" i="1"/>
  <c r="L403" i="1"/>
  <c r="M403" i="1" s="1"/>
  <c r="AG33" i="1"/>
  <c r="AH33" i="1" s="1"/>
  <c r="S452" i="1"/>
  <c r="T452" i="1" s="1"/>
  <c r="T455" i="1" s="1"/>
  <c r="S34" i="1"/>
  <c r="T34" i="1" s="1"/>
  <c r="Z453" i="1"/>
  <c r="AA453" i="1" s="1"/>
  <c r="E453" i="1"/>
  <c r="F453" i="1" s="1"/>
  <c r="F456" i="1" s="1"/>
  <c r="L404" i="1"/>
  <c r="M404" i="1" s="1"/>
  <c r="Z451" i="1"/>
  <c r="AA451" i="1" s="1"/>
  <c r="S33" i="1"/>
  <c r="T33" i="1" s="1"/>
  <c r="Z452" i="1"/>
  <c r="AA452" i="1" s="1"/>
  <c r="M127" i="1"/>
  <c r="L32" i="1"/>
  <c r="M32" i="1" s="1"/>
  <c r="M35" i="1" s="1"/>
  <c r="E405" i="1"/>
  <c r="F405" i="1" s="1"/>
  <c r="F407" i="1" s="1"/>
  <c r="Z26" i="1"/>
  <c r="AA26" i="1" s="1"/>
  <c r="AH27" i="1"/>
  <c r="T127" i="1"/>
  <c r="F127" i="1"/>
  <c r="Z68" i="1"/>
  <c r="AA68" i="1" s="1"/>
  <c r="AA69" i="1" s="1"/>
  <c r="AA65" i="1"/>
  <c r="Z72" i="1"/>
  <c r="AA72" i="1" s="1"/>
  <c r="AA74" i="1" s="1"/>
  <c r="AH19" i="1"/>
  <c r="AG26" i="1"/>
  <c r="AH26" i="1" s="1"/>
  <c r="AG22" i="1"/>
  <c r="AH22" i="1" s="1"/>
  <c r="AH23" i="1" s="1"/>
  <c r="F124" i="2"/>
  <c r="Z33" i="1" s="1"/>
  <c r="AA33" i="1" s="1"/>
  <c r="T82" i="1"/>
  <c r="M94" i="2"/>
  <c r="S27" i="1"/>
  <c r="T27" i="1" s="1"/>
  <c r="S32" i="1"/>
  <c r="T32" i="1" s="1"/>
  <c r="Z32" i="1"/>
  <c r="AA32" i="1" s="1"/>
  <c r="E26" i="1"/>
  <c r="F26" i="1" s="1"/>
  <c r="F29" i="1" s="1"/>
  <c r="E22" i="1"/>
  <c r="F22" i="1" s="1"/>
  <c r="F23" i="1" s="1"/>
  <c r="F19" i="1"/>
  <c r="T19" i="1"/>
  <c r="S26" i="1"/>
  <c r="T26" i="1" s="1"/>
  <c r="S22" i="1"/>
  <c r="T22" i="1" s="1"/>
  <c r="T23" i="1" s="1"/>
  <c r="M19" i="1"/>
  <c r="L22" i="1"/>
  <c r="M22" i="1" s="1"/>
  <c r="M23" i="1" s="1"/>
  <c r="L26" i="1"/>
  <c r="M26" i="1" s="1"/>
  <c r="M29" i="1" s="1"/>
  <c r="AO36" i="1" l="1"/>
  <c r="CE458" i="1"/>
  <c r="E149" i="6" s="1"/>
  <c r="AO446" i="1"/>
  <c r="AV446" i="1"/>
  <c r="Z31" i="1"/>
  <c r="AA31" i="1" s="1"/>
  <c r="BI450" i="1"/>
  <c r="BJ450" i="1" s="1"/>
  <c r="AU450" i="1"/>
  <c r="AV450" i="1" s="1"/>
  <c r="BB451" i="1"/>
  <c r="BC451" i="1" s="1"/>
  <c r="BI451" i="1"/>
  <c r="BJ451" i="1" s="1"/>
  <c r="S405" i="1"/>
  <c r="T405" i="1" s="1"/>
  <c r="S404" i="1"/>
  <c r="T404" i="1" s="1"/>
  <c r="BB450" i="1"/>
  <c r="BC450" i="1" s="1"/>
  <c r="AU451" i="1"/>
  <c r="AV451" i="1" s="1"/>
  <c r="E106" i="6"/>
  <c r="E33" i="6"/>
  <c r="BW455" i="1"/>
  <c r="BX455" i="1" s="1"/>
  <c r="BX456" i="1" s="1"/>
  <c r="BX458" i="1" s="1"/>
  <c r="E148" i="6" s="1"/>
  <c r="BB452" i="1"/>
  <c r="BC452" i="1" s="1"/>
  <c r="BI453" i="1"/>
  <c r="BJ453" i="1" s="1"/>
  <c r="BJ446" i="1"/>
  <c r="BC446" i="1"/>
  <c r="E39" i="6"/>
  <c r="E113" i="6"/>
  <c r="E108" i="6"/>
  <c r="E34" i="6"/>
  <c r="AH455" i="1"/>
  <c r="E41" i="6"/>
  <c r="E115" i="6"/>
  <c r="E114" i="6"/>
  <c r="E40" i="6"/>
  <c r="BQ446" i="1"/>
  <c r="BQ457" i="1" s="1"/>
  <c r="E144" i="6" s="1"/>
  <c r="AH446" i="1"/>
  <c r="AO455" i="1"/>
  <c r="AO457" i="1" s="1"/>
  <c r="AV455" i="1"/>
  <c r="AA27" i="1"/>
  <c r="F409" i="1"/>
  <c r="E11" i="6" s="1"/>
  <c r="M458" i="1"/>
  <c r="T35" i="1"/>
  <c r="T448" i="1"/>
  <c r="T457" i="1" s="1"/>
  <c r="M400" i="1"/>
  <c r="F448" i="1"/>
  <c r="F458" i="1" s="1"/>
  <c r="E23" i="6" s="1"/>
  <c r="AA448" i="1"/>
  <c r="M407" i="1"/>
  <c r="AA456" i="1"/>
  <c r="AH29" i="1"/>
  <c r="AH32" i="1"/>
  <c r="AH34" i="1" s="1"/>
  <c r="AA82" i="1"/>
  <c r="T29" i="1"/>
  <c r="F37" i="1"/>
  <c r="AA34" i="1"/>
  <c r="M37" i="1"/>
  <c r="T407" i="1" l="1"/>
  <c r="T409" i="1" s="1"/>
  <c r="E15" i="6" s="1"/>
  <c r="AV457" i="1"/>
  <c r="E29" i="6" s="1"/>
  <c r="AH457" i="1"/>
  <c r="BC455" i="1"/>
  <c r="BC457" i="1" s="1"/>
  <c r="E30" i="6" s="1"/>
  <c r="E100" i="6"/>
  <c r="E24" i="6"/>
  <c r="BJ455" i="1"/>
  <c r="BJ457" i="1" s="1"/>
  <c r="E31" i="6" s="1"/>
  <c r="E143" i="6"/>
  <c r="E101" i="6"/>
  <c r="AA36" i="1"/>
  <c r="T37" i="1"/>
  <c r="AA458" i="1"/>
  <c r="M409" i="1"/>
  <c r="E14" i="6" s="1"/>
  <c r="AH36" i="1"/>
  <c r="E25" i="6" l="1"/>
  <c r="E102" i="6"/>
</calcChain>
</file>

<file path=xl/sharedStrings.xml><?xml version="1.0" encoding="utf-8"?>
<sst xmlns="http://schemas.openxmlformats.org/spreadsheetml/2006/main" count="9927" uniqueCount="1484">
  <si>
    <t>ANALISIS DE PRECIO UNITARIO</t>
  </si>
  <si>
    <t>CLAVE</t>
  </si>
  <si>
    <t>CONCEPTO</t>
  </si>
  <si>
    <t>UNIDAD</t>
  </si>
  <si>
    <t>ALB-001</t>
  </si>
  <si>
    <t>FABRICACIÓN DE MURO DE TABIQUE DE BARRO ROJO RECOCIDO, MEDIDAS DE 6 X 12 X 24 CM, ASENTADO CON MORTERO CEMENTO ARENA 1:5, JUNTAS DE 1.5 CM ACABADO COMÚN. INCLUYE: MANO DE OBRA, MATERIALES, HERRAMIENTA  Y EQUIPO</t>
  </si>
  <si>
    <t>m2</t>
  </si>
  <si>
    <t>ALB-002</t>
  </si>
  <si>
    <t>MATERIALES</t>
  </si>
  <si>
    <t xml:space="preserve">CANTIDAD </t>
  </si>
  <si>
    <t>COSTO</t>
  </si>
  <si>
    <t>IMPORTE</t>
  </si>
  <si>
    <t>TAB-002</t>
  </si>
  <si>
    <t>TABIQUE DE BARRO ROJO RECOCIDO MEDIDAS DE 6X12X24CM</t>
  </si>
  <si>
    <t>MILLAR</t>
  </si>
  <si>
    <t>AGU-001</t>
  </si>
  <si>
    <t xml:space="preserve">AGUA DE PIPA  </t>
  </si>
  <si>
    <t>M3</t>
  </si>
  <si>
    <t>TOTAL MATERIALES</t>
  </si>
  <si>
    <t>MANO DE OBRA</t>
  </si>
  <si>
    <t>CUADRILLA DE ALBAÑILERIA (1 OFICIAL + 1 AYUDANTE)</t>
  </si>
  <si>
    <t>JOR</t>
  </si>
  <si>
    <t>CUADRILLA ALBAÑILERIA (1 OFICIAL ALBAÑIL + 1 AYUDANTE)</t>
  </si>
  <si>
    <t>HERRAMIENTA</t>
  </si>
  <si>
    <t>HERR-001</t>
  </si>
  <si>
    <t>%MO</t>
  </si>
  <si>
    <t>TOTAL HERRAMIENTA</t>
  </si>
  <si>
    <t>MAQUINARIA Y EQUIPO</t>
  </si>
  <si>
    <t>EQ-001</t>
  </si>
  <si>
    <t>EQUIPO DE SEGURIDAD</t>
  </si>
  <si>
    <t>CVOLT-001</t>
  </si>
  <si>
    <t>CH</t>
  </si>
  <si>
    <t>VIB-001</t>
  </si>
  <si>
    <t xml:space="preserve">VIBRADOR </t>
  </si>
  <si>
    <t>TOTAL MAQUINARIA Y EQUIPO</t>
  </si>
  <si>
    <t>AUXILIARES</t>
  </si>
  <si>
    <t>MORTERO CEMENTO ARENA 1:5</t>
  </si>
  <si>
    <t xml:space="preserve">CONCRETO SIMPLE F´C=100/CM2 </t>
  </si>
  <si>
    <t>Acero de refuerzo en estructura No.3 (3/8")</t>
  </si>
  <si>
    <t>KG</t>
  </si>
  <si>
    <t>Concreto hecho en obra F'C=200 kg/cm2, resistencia normal, agr. Max. 3/4" rev. 8-10cm.</t>
  </si>
  <si>
    <t>Cimbra de madera de pino de 3a para losa de sección 1.00 x 1.00 cm</t>
  </si>
  <si>
    <t>M2</t>
  </si>
  <si>
    <t>TOTAL AUXILIARES</t>
  </si>
  <si>
    <t>TOTAL COSTO DIRECTO</t>
  </si>
  <si>
    <t>INDIRECTOS</t>
  </si>
  <si>
    <t>SUBTOTAL</t>
  </si>
  <si>
    <t>FINANCIAMIENTO</t>
  </si>
  <si>
    <t>UTILIDAD</t>
  </si>
  <si>
    <t>CARGOS ADICIONALES</t>
  </si>
  <si>
    <t>TOTAL PRECIO UNITARIO</t>
  </si>
  <si>
    <t>**IMPORTE CON LETRA**</t>
  </si>
  <si>
    <t>ACA-001</t>
  </si>
  <si>
    <t>SUMINISTRO Y APLICACIÓN DE IMPERMEABILIZANTE BLANCO MARCA COMEX APLICADO A DOS MANOS EN LOSA DE AZOTEA. INCLUYE: MATERIALES, MANO DE OBRA, EQUIPO, HERRAMIENTAS</t>
  </si>
  <si>
    <t>ACA-002</t>
  </si>
  <si>
    <t>SUMINISTRO Y COLOCACION DE PISO DE LOSETA CERAMICA DE 60CM X 60CM, MARCA INTERCERAMIC, O SIMILAR EN CARACTERÍSTICAS, ASENTADO A BASE DE MORTERO CEMENTO-ARENA PROP: 1:5, JUNTEADO CON LECHADA DE CEMENTO BLANCO  CON JUNTA MAXIMA DE 1MM. INCLUYE: SUMINISTRO DE MATERIALES, MANO DE OBRA, HERRAMIENTA, EQUIPO DE SEGURIDAD</t>
  </si>
  <si>
    <t>IMP-001</t>
  </si>
  <si>
    <t xml:space="preserve">IMPERMEABILIZANTE </t>
  </si>
  <si>
    <t>CUBETA</t>
  </si>
  <si>
    <t>LOS-001</t>
  </si>
  <si>
    <t>LOSETA DE CERAMICA DE 60 CM X 60 CM MARCA INTERCERAMIC O SIMILAR</t>
  </si>
  <si>
    <t xml:space="preserve">AGUA DE PIPA </t>
  </si>
  <si>
    <t>JAL-001</t>
  </si>
  <si>
    <t>JALADOR</t>
  </si>
  <si>
    <t>PZA</t>
  </si>
  <si>
    <t>ESC-001</t>
  </si>
  <si>
    <t>ESCOBA PARA IMPERMEABILIZACION</t>
  </si>
  <si>
    <t>AGUA DE PIPA</t>
  </si>
  <si>
    <t>CUDRILLA PINTORES (1 OFICIAL + 1 AYUDANTE PINTOR)</t>
  </si>
  <si>
    <t>CUADRILLA AZULEJEROS (1 OFICIAL + 1 AYUDANTE)</t>
  </si>
  <si>
    <t>LECHADA DE CEMENTO BLANCO</t>
  </si>
  <si>
    <t>MORT-001</t>
  </si>
  <si>
    <t>CANTIDAD</t>
  </si>
  <si>
    <t>CEM-001</t>
  </si>
  <si>
    <t>cemento gris</t>
  </si>
  <si>
    <t>T</t>
  </si>
  <si>
    <t>ARE-001</t>
  </si>
  <si>
    <t>arena</t>
  </si>
  <si>
    <t>agua</t>
  </si>
  <si>
    <t>TOTAL</t>
  </si>
  <si>
    <t>LECH-001</t>
  </si>
  <si>
    <t>LECHADA CEMENTO BLANCO</t>
  </si>
  <si>
    <t>CEM-002</t>
  </si>
  <si>
    <t>cemento blanco</t>
  </si>
  <si>
    <t>LECH-002</t>
  </si>
  <si>
    <t>LECHADA CEMENTO GRIS</t>
  </si>
  <si>
    <t>PAST-001</t>
  </si>
  <si>
    <t>PASTA DE CEMENTO BLANCO</t>
  </si>
  <si>
    <t>PAST-002</t>
  </si>
  <si>
    <t>PASTA DE CEMENTO GRIS</t>
  </si>
  <si>
    <t>PAST-003</t>
  </si>
  <si>
    <t>PASTA DE YESO</t>
  </si>
  <si>
    <t>YES-001</t>
  </si>
  <si>
    <t>yeso</t>
  </si>
  <si>
    <t>PASTM-001</t>
  </si>
  <si>
    <t>PASTA CEMENTO BLANCO POLVO DE MÁRMOL 1:3</t>
  </si>
  <si>
    <t>PASTM-002</t>
  </si>
  <si>
    <t>PASTA CEMENTO BLANCO POLVO DE MÁRMOL 1:4</t>
  </si>
  <si>
    <t>PASTM-003</t>
  </si>
  <si>
    <t>PASTA CEMENTO BLANCO POLVO DE MÁRMOL 1:5</t>
  </si>
  <si>
    <t>Cemento blanco</t>
  </si>
  <si>
    <t>PM-001</t>
  </si>
  <si>
    <t>Polvo de mármol</t>
  </si>
  <si>
    <t>PCM-001</t>
  </si>
  <si>
    <t>PASTA CEMENTO BLANCO-CAL-POLVO DE MÁRMOL 1:1:6</t>
  </si>
  <si>
    <t>PCM-002</t>
  </si>
  <si>
    <t>PASTA CEMENTO BLANCO-CAL-POLVO DE MÁRMOL 1:1:8</t>
  </si>
  <si>
    <t>PCM-003</t>
  </si>
  <si>
    <t>PASTA CEMENTO BLANCO-CAL-POLVO DE MÁRMOL 1:1:10</t>
  </si>
  <si>
    <t>PCM-004</t>
  </si>
  <si>
    <t>PASTA CEMENTO BLANCO-CAL-POLVO DE MÁRMOL 1:1:12</t>
  </si>
  <si>
    <t>CAL-001</t>
  </si>
  <si>
    <t>Calhidra</t>
  </si>
  <si>
    <t>CAL-ARE-001</t>
  </si>
  <si>
    <t>CALHIDRA-ARENA 1:3</t>
  </si>
  <si>
    <t>CAL-ARE-002</t>
  </si>
  <si>
    <t>CALHIDRA-ARENA 1:4</t>
  </si>
  <si>
    <t>CAL-ARE-003</t>
  </si>
  <si>
    <t>CALHIDRA-ARENA 1:5</t>
  </si>
  <si>
    <t>CAL-ARE-004</t>
  </si>
  <si>
    <t>CALHIDRA-ARENA 1:6</t>
  </si>
  <si>
    <t>CAL-ARE-005</t>
  </si>
  <si>
    <t>CALHIDRA-ARENA 1:7</t>
  </si>
  <si>
    <t>CAL-ARE-006</t>
  </si>
  <si>
    <t>CALHIDRA-ARENA 1:8</t>
  </si>
  <si>
    <t>CAL-ARE-007</t>
  </si>
  <si>
    <t>CALHIDRA-ARENA 1:9</t>
  </si>
  <si>
    <t>CAL-ARE-008</t>
  </si>
  <si>
    <t>CALHIDRA-ARENA 1:10</t>
  </si>
  <si>
    <t>Arena</t>
  </si>
  <si>
    <t>CA-001</t>
  </si>
  <si>
    <t>CEMENTO-ARENA 1:2</t>
  </si>
  <si>
    <t>CA-002</t>
  </si>
  <si>
    <t>CEMENTO-ARENA 1:3</t>
  </si>
  <si>
    <t>CA-003</t>
  </si>
  <si>
    <t>CEMENTO-ARENA 1:4</t>
  </si>
  <si>
    <t>CA-004</t>
  </si>
  <si>
    <t>CEMENTO-ARENA 1:5</t>
  </si>
  <si>
    <t>CA-005</t>
  </si>
  <si>
    <t>CEMENTO-ARENA 1:6</t>
  </si>
  <si>
    <t>CA-006</t>
  </si>
  <si>
    <t>CEMENTO-ARENA 1:7</t>
  </si>
  <si>
    <t>CA-007</t>
  </si>
  <si>
    <t>CEMENTO-ARENA 1:8</t>
  </si>
  <si>
    <t>CEMENTO</t>
  </si>
  <si>
    <t>ARENA</t>
  </si>
  <si>
    <t>AGUA</t>
  </si>
  <si>
    <t>AGA-001</t>
  </si>
  <si>
    <t>CCA-001</t>
  </si>
  <si>
    <t>CEMENTO-CALHIDRA-ARENA 1:1:4</t>
  </si>
  <si>
    <t>CCA-002</t>
  </si>
  <si>
    <t>CEMENTO-CALHIDRA-ARENA 1:1:6</t>
  </si>
  <si>
    <t>CCA-003</t>
  </si>
  <si>
    <t>CEMENTO-CALHIDRA-ARENA 1:1:8</t>
  </si>
  <si>
    <t>CCA-004</t>
  </si>
  <si>
    <t>CEMENTO-CALHIDRA-ARENA 1:1:10</t>
  </si>
  <si>
    <t>CCA-005</t>
  </si>
  <si>
    <t>CEMENTO-CALHIDRA-ARENA 1:1:12</t>
  </si>
  <si>
    <t>CALH-001</t>
  </si>
  <si>
    <t>CALHIDRA</t>
  </si>
  <si>
    <t>CONCR-001</t>
  </si>
  <si>
    <t>CONCRETO F'C=100KG/CM2 3/4" REV. 8-10 CM</t>
  </si>
  <si>
    <t>CONCR-002</t>
  </si>
  <si>
    <t>CONCRETO F'C=100KG/CM2 1 1/2" REV. 8-10</t>
  </si>
  <si>
    <t>CONCR-003</t>
  </si>
  <si>
    <t>CONCRETO F'C=100KG/CM2 3/4" REV. 12-15CM</t>
  </si>
  <si>
    <t>CONCR-004</t>
  </si>
  <si>
    <t>CONCRETO F'C=100KG/CM2 1 1/2" REV. 12-15CM</t>
  </si>
  <si>
    <t>CONCR-005</t>
  </si>
  <si>
    <t>CONCRETO F'C=150KG/CM2 3/4" REV. 8-10</t>
  </si>
  <si>
    <t>CONCR-006</t>
  </si>
  <si>
    <t>CONCRETO F'C=150KG/CM2 1 1/2" REV. 8-10</t>
  </si>
  <si>
    <t>CONCR-007</t>
  </si>
  <si>
    <t>CONCRETO F'C=150KG/CM2 3/4" REV. 12-15CM</t>
  </si>
  <si>
    <t>CONCR-008</t>
  </si>
  <si>
    <t>CONCRETO F'C=150KG/CM2 1 1/2" REV. 12-15CM</t>
  </si>
  <si>
    <t>CONCR-009</t>
  </si>
  <si>
    <t>CONCRETO F'C=200KG/CM2 3/4" REV. 8-10</t>
  </si>
  <si>
    <t>CONCR-010</t>
  </si>
  <si>
    <t>CONCRETO F'C=200KG/CM2 1 1/2" REV. 8-10</t>
  </si>
  <si>
    <t>CONCR-011</t>
  </si>
  <si>
    <t>CONCRETO F'C=200KG/CM2 3/4" REV. 12-15CM</t>
  </si>
  <si>
    <t>CONCR-012</t>
  </si>
  <si>
    <t>CONCRETO F'C=200KG/CM2 1 1/2" REV. 12-15CM</t>
  </si>
  <si>
    <t>CONCR-013</t>
  </si>
  <si>
    <t>CONCRETO F'C=250KG/CM2 3/4" REV. 8-10</t>
  </si>
  <si>
    <t>CONCR-014</t>
  </si>
  <si>
    <t>CONCRETO F'C=250KG/CM2 1 1/2" REV. 8-10</t>
  </si>
  <si>
    <t>CONCR-015</t>
  </si>
  <si>
    <t>CONCRETO F'C=250KG/CM2 3/4" REV. 12-15CM</t>
  </si>
  <si>
    <t>CONCR-016</t>
  </si>
  <si>
    <t>CONCRETO F'C=250KG/CM2 1 1/2" REV. 12-15CM</t>
  </si>
  <si>
    <t>GRAV-001</t>
  </si>
  <si>
    <t>GRAVA</t>
  </si>
  <si>
    <t>CUADR-004</t>
  </si>
  <si>
    <t>CUADR ALBAÑ (1 OFICIAL + 5 AYUDANTES)</t>
  </si>
  <si>
    <t>EQU-001</t>
  </si>
  <si>
    <t>EQUIPO SEGURIDAD</t>
  </si>
  <si>
    <t>ACE-001</t>
  </si>
  <si>
    <t>ACERO DE REFUERZO EN ESTRUCTURA No.3 (3/8")</t>
  </si>
  <si>
    <t>Cuadrilla de fierreros (1 oficial + 1 ayudante)</t>
  </si>
  <si>
    <t>VAR-005</t>
  </si>
  <si>
    <t>Varilla corrugada del #3</t>
  </si>
  <si>
    <t>ALAM-001</t>
  </si>
  <si>
    <t>Alambre</t>
  </si>
  <si>
    <t>Herramienta</t>
  </si>
  <si>
    <t>Equipo</t>
  </si>
  <si>
    <t>CIMBR-001</t>
  </si>
  <si>
    <t>CIMBRA DE MADERA DE PINO DE 3a PARA LOSA PLANA DE CONCRETO ARMADO</t>
  </si>
  <si>
    <t>MADERA</t>
  </si>
  <si>
    <t>CANTIDAD P.T</t>
  </si>
  <si>
    <t>FACTOR DE CONTACTO (FC)</t>
  </si>
  <si>
    <t>CANTIDAD P.T/M2</t>
  </si>
  <si>
    <t>DESPERDICIO (20%)</t>
  </si>
  <si>
    <t>USOS</t>
  </si>
  <si>
    <t>CANTIDAD FINAL P.T/M2</t>
  </si>
  <si>
    <r>
      <rPr>
        <sz val="11"/>
        <color indexed="12"/>
        <rFont val="Calibri"/>
        <family val="2"/>
      </rPr>
      <t>Duela</t>
    </r>
    <r>
      <rPr>
        <sz val="11"/>
        <color indexed="8"/>
        <rFont val="Calibri"/>
        <family val="2"/>
      </rPr>
      <t xml:space="preserve"> para cimbra de contacto</t>
    </r>
  </si>
  <si>
    <t>1/5</t>
  </si>
  <si>
    <t>CLAVO DE 2 1/2"</t>
  </si>
  <si>
    <t>MAD-001</t>
  </si>
  <si>
    <t>Duela  de madera de 3a de 1" x 4"para cimbra</t>
  </si>
  <si>
    <t>P.T</t>
  </si>
  <si>
    <r>
      <rPr>
        <sz val="11"/>
        <color indexed="12"/>
        <rFont val="Calibri"/>
        <family val="2"/>
      </rPr>
      <t>10</t>
    </r>
    <r>
      <rPr>
        <sz val="11"/>
        <color indexed="8"/>
        <rFont val="Calibri"/>
        <family val="2"/>
      </rPr>
      <t xml:space="preserve"> x 1" x 4" x 1.00m/3.657</t>
    </r>
  </si>
  <si>
    <t>CLAVO DE 3 1/2" o 4</t>
  </si>
  <si>
    <t>MAD-002</t>
  </si>
  <si>
    <t>Barrote para cimbra</t>
  </si>
  <si>
    <t>Polin para madrinas</t>
  </si>
  <si>
    <t>1/10</t>
  </si>
  <si>
    <t>ALAMBRE #18</t>
  </si>
  <si>
    <t>MAD-003</t>
  </si>
  <si>
    <t>Polin para cimbra</t>
  </si>
  <si>
    <t>1 x 4" x 4" x 1.00m/3.657</t>
  </si>
  <si>
    <t>L</t>
  </si>
  <si>
    <t>Clavo de 2 1/2"</t>
  </si>
  <si>
    <t>Polin para pies derechos</t>
  </si>
  <si>
    <t>DISEL</t>
  </si>
  <si>
    <t>Clavo de 3 1/2"</t>
  </si>
  <si>
    <t>1 x 4" x 4" x 2.325m/3.657</t>
  </si>
  <si>
    <t>Alambre #18</t>
  </si>
  <si>
    <t>Duela para contraventeo</t>
  </si>
  <si>
    <t>1/3</t>
  </si>
  <si>
    <t>DUELA</t>
  </si>
  <si>
    <t>DIS-001</t>
  </si>
  <si>
    <t>Disel</t>
  </si>
  <si>
    <t>2 x 1" x 4" x 1.00 m/3.657</t>
  </si>
  <si>
    <t>BARROTE</t>
  </si>
  <si>
    <t>Barrote para cuña</t>
  </si>
  <si>
    <t>POLIN</t>
  </si>
  <si>
    <t>1 x 2" x 4" x 0.40m/3.657</t>
  </si>
  <si>
    <t>Cuadr de carpintería de obra negra (1 oficial + 2 ayudantes)</t>
  </si>
  <si>
    <t>Polin para arrastre</t>
  </si>
  <si>
    <t>Dulea para cachete</t>
  </si>
  <si>
    <t>4 x 1" x 4" x 0.55m/3.657</t>
  </si>
  <si>
    <t>ANÁLISIS DE CUADRILLAS: PASO 2</t>
  </si>
  <si>
    <t>ANÁLISIS DE CUADRILLAS: PASO 1</t>
  </si>
  <si>
    <t>CUADR-001</t>
  </si>
  <si>
    <t>Cuadrilla de albañileria (1 oficial + 1 ayudante de albañil)</t>
  </si>
  <si>
    <t>Clave</t>
  </si>
  <si>
    <t>Concepto</t>
  </si>
  <si>
    <t>Unidad</t>
  </si>
  <si>
    <t>cantidad</t>
  </si>
  <si>
    <t>Salario Real</t>
  </si>
  <si>
    <t>Importe</t>
  </si>
  <si>
    <t>Categoría</t>
  </si>
  <si>
    <t>Salario Base Diario</t>
  </si>
  <si>
    <t>FSR</t>
  </si>
  <si>
    <t>Oficial albañil</t>
  </si>
  <si>
    <t>Oficial Albañil</t>
  </si>
  <si>
    <t>Ayudante albañileria</t>
  </si>
  <si>
    <t>Ayudante Genereal</t>
  </si>
  <si>
    <t>Cabo</t>
  </si>
  <si>
    <t>Total</t>
  </si>
  <si>
    <t>CUADR-002</t>
  </si>
  <si>
    <t>Oficial pintor</t>
  </si>
  <si>
    <t>Oficial Pintor</t>
  </si>
  <si>
    <t>ayudante pintor</t>
  </si>
  <si>
    <t>cabo</t>
  </si>
  <si>
    <t>CUADR-003</t>
  </si>
  <si>
    <t>Oficial</t>
  </si>
  <si>
    <t>Oficial Azulejero</t>
  </si>
  <si>
    <t xml:space="preserve">ayudante </t>
  </si>
  <si>
    <t>Ayudante Azulejero</t>
  </si>
  <si>
    <t>Ayudante Albañileria</t>
  </si>
  <si>
    <t>CUADR-005</t>
  </si>
  <si>
    <t>Oficial Fierrero</t>
  </si>
  <si>
    <t>Ayudante Fierrero</t>
  </si>
  <si>
    <t>CUADR-006</t>
  </si>
  <si>
    <t>CUADR-007</t>
  </si>
  <si>
    <t>PROVEEDOR (NOMBRE, DIRECCIÓN, TELÉFONO, CORREO) O LINK (DE INTERNET SOLO HOME DEPOT)</t>
  </si>
  <si>
    <t>MATERIAL</t>
  </si>
  <si>
    <t>PRECIO SIN IVA</t>
  </si>
  <si>
    <t>ALCIONE PUEBLA. Av. 4 Pte. 2111, San Matías, 72090 Puebla, Pue. 01 222 551 0400</t>
  </si>
  <si>
    <t>TFG-001</t>
  </si>
  <si>
    <t>Tubo FG-Cpg 19 mm (3/4") conduit galvanizado pared gruesa, incluye cople marca Júpiter</t>
  </si>
  <si>
    <t>m</t>
  </si>
  <si>
    <t>HOME DEPOT. Atlixcáyotl 5317, Reserva Territorial Atlixcáyotl, Centros Comerciales Desarrollo Atlixcayotl, 72400 Puebla, Pue. 01 222 303 8800. http://www.homedepot.com.mx/comprar/es/puebla-angelopolis/coflex-p-lavabo-fregadero-1-2x1-2-40cm-252213p--5</t>
  </si>
  <si>
    <t>COFL-001</t>
  </si>
  <si>
    <t>Manguera coflex para lavabo con inserto de latón de 1/2" x 7/8" x 40cm</t>
  </si>
  <si>
    <t>pieza</t>
  </si>
  <si>
    <t>CONSTRURAMA. 16 de Septiembre 5505, Las Palmas, 72550 Puebla, Pue. 01 222 240 7302</t>
  </si>
  <si>
    <t>Calhidra en bulto de 25kg</t>
  </si>
  <si>
    <t>t</t>
  </si>
  <si>
    <t>Cemento gris CPC 30 R (Cemento Portland Compuesto)</t>
  </si>
  <si>
    <t>CONSTRURAMA. 16 de Septiembre 5505, Las Palmas, 72550 Puebla, Pue. 01 222 240 7303</t>
  </si>
  <si>
    <t>CONSTRURAMA. 16 de Septiembre 5505, Las Palmas, 72550 Puebla, Pue. 01 222 240 7304</t>
  </si>
  <si>
    <t>Yeso</t>
  </si>
  <si>
    <t>CONSTRURAMA. 16 de Septiembre 5505, Las Palmas, 72550 Puebla, Pue. 01 222 240 7305</t>
  </si>
  <si>
    <t>Arena de mina o banco</t>
  </si>
  <si>
    <t>m3</t>
  </si>
  <si>
    <t>Grava de 3/4"</t>
  </si>
  <si>
    <t>Tudogar Dirección: 16 de Septiembre 6551, Puebla Textil, 72470 Puebla, Pue. Teléfono: 222 122 2222. cuartillas@tudogar.com.mx</t>
  </si>
  <si>
    <t>CACH-001</t>
  </si>
  <si>
    <t>Cacahuatillo</t>
  </si>
  <si>
    <t>HOME DEPOT. Atlixcáyotl 5317, Reserva Territorial Atlixcáyotl, Centros Comerciales Desarrollo Atlixcayotl, 72400 Puebla, Pue. 01 222 303 8800. http://www.homedepot.com.mx/comprar/es/puebla-angelopolis/thinner-estandar-1l</t>
  </si>
  <si>
    <t>THIN-001</t>
  </si>
  <si>
    <t>Thiner standard</t>
  </si>
  <si>
    <t>GRUPO INFRA CHOLULA. Blvd. Forjadores de Puebla 59, Centro, 72700 Cuautlacingo, Pue. 01 800 712 2525</t>
  </si>
  <si>
    <t>SOLD-001</t>
  </si>
  <si>
    <t>Soldadura electrodo serie E-7080 de 1/8" marca Infra</t>
  </si>
  <si>
    <t>kg</t>
  </si>
  <si>
    <t>SEGURIGASES SA DE CV. Río Nazas Sur 502-C, Santiago Momoxpan, Rafael Ávila Camacho (Manantiales, 72160 Puebla, Pue. 01 222 285 5024</t>
  </si>
  <si>
    <t>ACT-001</t>
  </si>
  <si>
    <t>Acetileno</t>
  </si>
  <si>
    <t>OXG-001</t>
  </si>
  <si>
    <t>Oxígeno industrial</t>
  </si>
  <si>
    <t>PIPAS DE AGUA PALACIOS. Calle Camino Real a Cholula 70, Sta Cruz Buenavista, 72170 Puebla, Pue. 01 222 284 6166.</t>
  </si>
  <si>
    <t>Agua (adquirida en pipa)</t>
  </si>
  <si>
    <t>HOME DEPOT. Atlixcáyotl 5317, Reserva Territorial Atlixcáyotl, Centros Comerciales Desarrollo Atlixcayotl, 72400 Puebla, Pue. 01 222 303 8800. http://www.homedepot.com.mx/comprar/es/puebla-angelopolis/estopa-premium-1-kg</t>
  </si>
  <si>
    <t>EST-001</t>
  </si>
  <si>
    <t>Estopa blanca</t>
  </si>
  <si>
    <t>PEMEX Lateral Sur Via Atlixcayotl No. 5422</t>
  </si>
  <si>
    <t>Diesel</t>
  </si>
  <si>
    <t>PEMEX Lateral Sur Via Atlixcayotl No. 5423</t>
  </si>
  <si>
    <t>GASO-001</t>
  </si>
  <si>
    <t>Gasolina Magna (sin I.V.A.)</t>
  </si>
  <si>
    <t>QUAKER STATE. Recta a Cholula #18, San Andrés Cholula, 72810 Puebla, Pue. 01 222 273 4230</t>
  </si>
  <si>
    <t>Aceite multigrado para motor a gasolina Quaker State</t>
  </si>
  <si>
    <t>ACE-002</t>
  </si>
  <si>
    <t>Aceite para motor a diesel Quaker State SAE 15W - 40</t>
  </si>
  <si>
    <t>FANDELI.  Local 6, esquina con Avenida 10 Poniente, Blvrd Nte S/N, Villa San Alejandro, 72090 Puebla, Pue. 01 222 249 3904.</t>
  </si>
  <si>
    <t>LIJ-001</t>
  </si>
  <si>
    <t>Lija para madera Fandeli</t>
  </si>
  <si>
    <t>LIJ-002</t>
  </si>
  <si>
    <t>Lija de esmeril 38mm</t>
  </si>
  <si>
    <t>FANTASIAS MIGUEL. Av 2 Pte 509, Centro, 72000 Puebla, Pue. 01 222 242 3092</t>
  </si>
  <si>
    <t>NYL-001</t>
  </si>
  <si>
    <t>Hilo Nylon de plastico</t>
  </si>
  <si>
    <t>INFRA. Diagonal Defensores de la República 862, Adolfo López Mateos, 72240 Puebla, Pue. 220 5300.</t>
  </si>
  <si>
    <t>SEG-001</t>
  </si>
  <si>
    <t>Segueta diente grueso</t>
  </si>
  <si>
    <t>Vicom - Materiales de Construcción Carretera Valsequillo Kilómetro 9.4, San Baltasar Tetela, 72960 Puebla, Pue.             Tel. 281 2162</t>
  </si>
  <si>
    <t>BOVE-001</t>
  </si>
  <si>
    <t>Bovedilla 75m/ejes 13x20x68cm</t>
  </si>
  <si>
    <t>VIG-001</t>
  </si>
  <si>
    <t>Vigueta alma abierta</t>
  </si>
  <si>
    <t>http://www.homedepot.com.mx/comprar/es/puebla-angelopolis/alambre-retorcido-36-kg-mm2</t>
  </si>
  <si>
    <t>Alambre recocido Calibre 18</t>
  </si>
  <si>
    <t>MAPSA SUCURSAL SUR16 de Septiembre #6536 CP 72470  Col. Puebla Textil, Puebla, Pue. Tel.2280063 mapsa_sur@hotmail.com</t>
  </si>
  <si>
    <t>MALLA-001</t>
  </si>
  <si>
    <t>Malla electrosoldada 6x6/10-10, rollo de 100 m2</t>
  </si>
  <si>
    <t>POLOSA S.A de C.V A 57 Poniente 109-1, El Cerrito, 72440 Puebla, Pue. Tel. 222 890 9900</t>
  </si>
  <si>
    <t>AMX-001</t>
  </si>
  <si>
    <t>Armex 15 x 15-4</t>
  </si>
  <si>
    <t>MADERERIA SANTA JULIA Calle 11 Sur 12912, Guadalupe Hidalgo, 72490 Puebla, Pue. Tel. 288 5951</t>
  </si>
  <si>
    <t>Barrote de 1 1/2" x 4" x 8 1/4" en madera de pino nacional</t>
  </si>
  <si>
    <t>pt</t>
  </si>
  <si>
    <t>Maderería Los Angeles  Carretera Federal Puebla-Atlixco Km. 5.5 S/N, 72821 Tlaxcalancingo, Pue. Tel. 222 248 3835</t>
  </si>
  <si>
    <t>Polin para cimbra de 3 1/2" x 3 1/2" x 8-1/4 en madera de pino nacional</t>
  </si>
  <si>
    <t>Tablon de 1 1/2"x12"x8'</t>
  </si>
  <si>
    <t>Triturados Lozano SA de CV Km 12.5 Carretera Federal Puebla-Tehuacan Chachapa, Puebla   C.P. 72990 Tel. 2 86 07 15</t>
  </si>
  <si>
    <t>TEZO-001</t>
  </si>
  <si>
    <t>Tezontle</t>
  </si>
  <si>
    <t>Protelect Tablaroca. Av. Manuel Espinosa Yglesias 31 Pte. 1920, Los Volcanes, 72410, Puebla. Tel. (222)240 6289</t>
  </si>
  <si>
    <t>TAB-001</t>
  </si>
  <si>
    <t>Tabique rojo recocido 5.5 x 12 x 23 cm</t>
  </si>
  <si>
    <t>millar</t>
  </si>
  <si>
    <t>TROC-001</t>
  </si>
  <si>
    <t>Hoja de tablaroca normal USG de 12.7mm x 1.22m x 2.44m</t>
  </si>
  <si>
    <t>USG-001</t>
  </si>
  <si>
    <t>Canal galvanizado USG de 41mm x 3.05 cal. 26</t>
  </si>
  <si>
    <t>USG-002</t>
  </si>
  <si>
    <t>Poste galvanizado USG de 63mm x 2.44 cal. 26</t>
  </si>
  <si>
    <t>HOME DEPOT. Atlixcáyotl 5317, Reserva Territorial Atlixcáyotl, Centros Comerciales Desarrollo Atlixcayotl, 72400 Puebla, Pue. 01 222 303 8800. http://www.homedepot.com.mx/comprar/es/la-paz/adhesivo-redimix-25-kg</t>
  </si>
  <si>
    <t>Pasta de compuesto Redimix de 25kg</t>
  </si>
  <si>
    <t>caja</t>
  </si>
  <si>
    <t>CIN-001</t>
  </si>
  <si>
    <t>Cinta "PERFACINTA" cubre juntas de 0.05x75 m</t>
  </si>
  <si>
    <t>rollo</t>
  </si>
  <si>
    <t>http://www.homedepot.com.mx/comprar/es/puebla-angelopolis/omega-conduit-pared-delgada-3-4</t>
  </si>
  <si>
    <t>ABR-001</t>
  </si>
  <si>
    <t>Abrazadera forjada tipo omega fig. SC-262 p/tubo 3/4"</t>
  </si>
  <si>
    <t>HOME DEPOT. Atlixcáyotl 5317, Reserva Territorial Atlixcáyotl, Centros Comerciales Desarrollo Atlixcayotl, 72400 Puebla, Pue. 01 222 303 8800. http://www.homedepot.com.mx/comprar/es/puebla-angelopolis/clavo-estandar-con-cabeza-4-1-kg</t>
  </si>
  <si>
    <t>CLAV-001</t>
  </si>
  <si>
    <t>Clavo c/cabeza de 2" -4"</t>
  </si>
  <si>
    <t>http://www.homedepot.com.mx/comprar/es/puebla-angelopolis/taquete-plastico-6-8-x-3-4</t>
  </si>
  <si>
    <t>TAQ-001</t>
  </si>
  <si>
    <t>Taquete 3/4"</t>
  </si>
  <si>
    <t>Trycsa Acero</t>
  </si>
  <si>
    <t>PIJA-001</t>
  </si>
  <si>
    <t>Pija c/plana 8x 3/4 100 pzas nat.</t>
  </si>
  <si>
    <t>caj/10</t>
  </si>
  <si>
    <t>http://www.homedepot.com.mx/comprar/es/puebla-angelopolis/kit-tornillo-pija-wc-acero-inox</t>
  </si>
  <si>
    <t>PIJA-002</t>
  </si>
  <si>
    <t>Pijas para inodoro de 1/4"</t>
  </si>
  <si>
    <t>juego</t>
  </si>
  <si>
    <t>HOME DEPOT. Atlixcáyotl 5317, Reserva Territorial Atlixcáyotl, Centros Comerciales Desarrollo Atlixcayotl, 72400 Puebla, Pue. 01 222 303 8800.   http://www.homedepot.com.mx/comprar/ProductDisplay?storeId=13305&amp;errorViewName=ProductDisplayErrorView&amp;urlLangId=-5&amp;productId=479471&amp;urlRequestType=Base&amp;categoryId=&amp;langId=-5&amp;catalogId=10052</t>
  </si>
  <si>
    <t>TUB-001</t>
  </si>
  <si>
    <t>Tubo de cobre 13 mm (1/2")diametro nominal tipo "M" rigido marca Nacobre</t>
  </si>
  <si>
    <t>http://www.homedepot.com.mx/comprar/es/puebla-angelopolis/codo-cobre-90GRADOS-rosca-interior-1-2-13mm</t>
  </si>
  <si>
    <t>COD-001</t>
  </si>
  <si>
    <t>Codo 90ø cobre a rosca interior de 13mm (1/2"), marca Nacobre, catálogo 108H.</t>
  </si>
  <si>
    <t>HOME DEPOT. Atlixcáyotl 5317, Reserva Territorial Atlixcáyotl, Centros Comerciales Desarrollo Atlixcayotl, 72400 Puebla, Pue. 01 222 303 8800. http://www.homedepot.com.mx/comprar/es/puebla-angelopolis/pasta-para-soldar-100-gr-50-piezas</t>
  </si>
  <si>
    <t>Pasta fundente bote de 100g</t>
  </si>
  <si>
    <t>HOME DEPOT. Atlixcáyotl 5317, Reserva Territorial Atlixcáyotl, Centros Comerciales Desarrollo Atlixcayotl, 72400 Puebla, Pue. 01 222 303 8800. http://www.homedepot.com.mx/comprar/es/puebla-angelopolis/soldadura-50-monarca-solida-1-m</t>
  </si>
  <si>
    <t>SOLD-002</t>
  </si>
  <si>
    <t>Carrete de soldadura de 50 x 50 z marca Monarca</t>
  </si>
  <si>
    <t>HOME DEPOT. Atlixcáyotl 5317, Reserva Territorial Atlixcáyotl, Centros Comerciales Desarrollo Atlixcayotl, 72400 Puebla, Pue. 01 222 303 8800. http://www.homedepot.com.mx/comprar/es/coapa-del-hueso/cinta-teflon-1-2x520-cm</t>
  </si>
  <si>
    <t>CIN-002</t>
  </si>
  <si>
    <t>Cinta teflon de 13 mm</t>
  </si>
  <si>
    <t>HOME DEPOT. Atlixcáyotl 5317, Reserva Territorial Atlixcáyotl, Centros Comerciales Desarrollo Atlixcayotl, 72400 Puebla, Pue. 01 222 303 8800. http://www.homedepot.com.mx/comprar/es/puebla-angelopolis/llaves-de-control-1-2x1-2-angular</t>
  </si>
  <si>
    <t>Llave de control de paso hidráulico o angular de barril de 13 MM.</t>
  </si>
  <si>
    <t>http://www.homedepot.com.mx/mangueras-y-conectores-flexibles/coflex-acero-wc-1-2-fipx-7-8-am-50-cm-112400</t>
  </si>
  <si>
    <t>MANG-001</t>
  </si>
  <si>
    <t>Manguera coflex para W.C. Con inserto de latón de 1/2" x 7/8" x 40cm</t>
  </si>
  <si>
    <t xml:space="preserve">El Surtidor </t>
  </si>
  <si>
    <t>PEGA-001</t>
  </si>
  <si>
    <t>Pegamento Siler para PVC de 480gms</t>
  </si>
  <si>
    <t>Lumex</t>
  </si>
  <si>
    <t>TFG-002</t>
  </si>
  <si>
    <t>Tubo FG-Cpg 38 mm (1-1/2") conduit galvanizado pared gruesa, incluye cople marca Júpiter</t>
  </si>
  <si>
    <t>tmo/3m</t>
  </si>
  <si>
    <t>JOCAR Puebla Norte Boulevard Norte #1402 Col. San Alejandro C.P. 72090         Tel.774 8220  pueblanorte@jocar.mx</t>
  </si>
  <si>
    <t>CAB-001</t>
  </si>
  <si>
    <t>Cable de cobre con forro tipo thw-ls, 600v, cal. 4 awg, mca. viakon, indiana o similar</t>
  </si>
  <si>
    <t>CAB-002</t>
  </si>
  <si>
    <t>Cable de cobre con forro tipo thw-ls, 600v, cal. 1/0 awg, mca. viakon,condumex, indiana o similar</t>
  </si>
  <si>
    <t>CAB-003</t>
  </si>
  <si>
    <t>Cable de cobre con forro tipo thw-ls, 600v, cal. 10 awg, mca. viakon,condumex, indiana o similar</t>
  </si>
  <si>
    <t>CAB-004</t>
  </si>
  <si>
    <t>Cable de cobre con forro tipo thw-ls, 600v, cal. 12 awg, mca. viakon,condumex, indiana o similar</t>
  </si>
  <si>
    <t>CAB-005</t>
  </si>
  <si>
    <t>Cable de cobre desnudo cal 12 mca. Condumex</t>
  </si>
  <si>
    <t>CAB-006</t>
  </si>
  <si>
    <t>Cable de cobre con forro tipo thw-ls, 600v, cal. 14 awg, mca. viakon,condumex, indiana o similar</t>
  </si>
  <si>
    <t>CAB-007</t>
  </si>
  <si>
    <t>Cable de cobre desnudo, cal .2 awg mca. viakon,condumex, indiana o similar</t>
  </si>
  <si>
    <t>CAB-008</t>
  </si>
  <si>
    <t>Cable de cobre desnudo cal 14 mca. Condumex</t>
  </si>
  <si>
    <t>m y kg</t>
  </si>
  <si>
    <t>Alcione Dirección: Av. 4 Pte. 2111, San Matías, 72090 Puebla, Pue. Teléfono: 222 551 0400. Correo:  aalv@alcione.mx</t>
  </si>
  <si>
    <t>CAB-009</t>
  </si>
  <si>
    <t>Cable de cobre desnudo tipo THW-ls, 600v, calibre 10 AWG, marca condumex.</t>
  </si>
  <si>
    <t>CAB-010</t>
  </si>
  <si>
    <t>Cable de cobre desnudo semiduro Calibre No. 1/0 AWG con 7 hilos, marca Condumex</t>
  </si>
  <si>
    <t>CIN-003</t>
  </si>
  <si>
    <t>Cinta aislante de 13 mm color negro marca Truper (rollo con 18 m uso eléctrico)</t>
  </si>
  <si>
    <t>CONE-001</t>
  </si>
  <si>
    <t>Conector Gart marca Burndy para varilla a tierra 5/8"</t>
  </si>
  <si>
    <t>INTE-001</t>
  </si>
  <si>
    <t>Intensificador P/ Puesta a tierra 11.kgs</t>
  </si>
  <si>
    <t>bulto</t>
  </si>
  <si>
    <t>REH-001</t>
  </si>
  <si>
    <t>Rehilete para tierra C585, tipo jaula de faraday para cobre-bronce</t>
  </si>
  <si>
    <t>VAR-001</t>
  </si>
  <si>
    <t>Varilla tipo Copperweld de 5/8" x 3.05m con protocolo marca Cadwell o similar</t>
  </si>
  <si>
    <t>http://www.homedepot.com.mx/comprar/es/puebla-angelopolis/bisagra-3-x-3-plana-para-suelto-22-mm</t>
  </si>
  <si>
    <t>BIS-001</t>
  </si>
  <si>
    <t>Bisagra para puerta de aluminio</t>
  </si>
  <si>
    <t>http://www.homedepot.com.mx/comprar/es/puebla-angelopolis/tubo-de-cobre-tipo-l-para-gas-3-4-3m</t>
  </si>
  <si>
    <t>TUB-002</t>
  </si>
  <si>
    <t>Tubo de cobre 19 mm (3/4") flexible rollo 18.29m tipo L marca Nacobre</t>
  </si>
  <si>
    <t>Tudogar Dirección:16 de Septiembre 6551, Puebla Textil, 72470 Puebla, Pue. Teléfono: 222 122 2222. Correo:  cuartillas@tudogar.com.mx</t>
  </si>
  <si>
    <t>TUB-003</t>
  </si>
  <si>
    <t>Tubo de cobre 13 mm (1/2") flexible rollo 15.24m tipo L marca Nacobre</t>
  </si>
  <si>
    <t>http://www.homedepot.com.mx/comprar/es/puebla-angelopolis/tanque-estacionario-300-l</t>
  </si>
  <si>
    <t>TGAS-001</t>
  </si>
  <si>
    <t>Tanque de gas estacionario (cochina) capacidad 300 L marca ARMEBE</t>
  </si>
  <si>
    <t>: http://www.homedepot.com.mx/comprar/es/puebla-angelopolis/resistol-850-4-kg</t>
  </si>
  <si>
    <t>PEGA-002</t>
  </si>
  <si>
    <t>Pegamento para madera Resistol 850</t>
  </si>
  <si>
    <t>http://www.homedepot.com.mx/comprar/es/puebla-angelopolis/triplay-para-muebles-3-mm</t>
  </si>
  <si>
    <t>TRIP-001</t>
  </si>
  <si>
    <t>Triplay de 1.22 x 2.44 m 3 mm 1 cara</t>
  </si>
  <si>
    <t>Home Depot Dirección: Atlixcáyotl 5317, Reserva Territorial Atlixcáyotl, Centros Comerciales Desarrollo Atlixcayotl, 72400 Puebla, Pue. Teléfono: 222 303 8800. Link: http://callcenter@homedepot.com.mx</t>
  </si>
  <si>
    <t>DUE-001</t>
  </si>
  <si>
    <t>Duela de 3/4" x 4" x 8 1/41 en madera de pino nacional</t>
  </si>
  <si>
    <t>http://www.homedepot.com.mx/comprar/es/puebla-angelopolis/alambre-galvanizado-cal-20-6-hilos-30-m</t>
  </si>
  <si>
    <t>ALAM-002</t>
  </si>
  <si>
    <t>Guia de alambre galvanizado de 30m x 4mm para cablear</t>
  </si>
  <si>
    <t>http://www.homedepot.com.mx/comprar/es/puebla-angelopolis/silicon-neutro-p-policarbonato-305ml</t>
  </si>
  <si>
    <t>SELLA-001</t>
  </si>
  <si>
    <t>Sellador transparente 781 Dow Corning (cartucho de 305 ml)</t>
  </si>
  <si>
    <t>http://www.homedepot.com.mx/banos/sanitarios/sanitarios-de-una-pieza/sanitario-alargado-blanco1-pieza-48-l-116442</t>
  </si>
  <si>
    <t>Inodoro de tanque marca American Estandar color blanco de cerámica porcelanizada de alto brillo consumo de 4.8lts.modelo Mainstream Flowise</t>
  </si>
  <si>
    <t>http://www.homedepot.com.mx/comprar/es/puebla-angelopolis/cuello-de-cera-para-sanitario-det-200232p--5</t>
  </si>
  <si>
    <t>JUN-001</t>
  </si>
  <si>
    <t>Junta prohel o cuello de cera para inodoro</t>
  </si>
  <si>
    <t xml:space="preserve">http://www.homedepot.com.mx/banos/regaderas-y-duchas/monomando-regadera-o-tina-novus-cromo-965541  </t>
  </si>
  <si>
    <t>Llave monomando para lavabo acabado cromado marca Helvex</t>
  </si>
  <si>
    <t>Urrea. Blvr Nte, Villa San Alejandro, 72090, Puebla. Tel. (222) 249 3904</t>
  </si>
  <si>
    <t>CESP-001</t>
  </si>
  <si>
    <t>Cespol para lavabo de laton cromado marca urrea</t>
  </si>
  <si>
    <t>http://www.homedepot.com.mx/comprar/es/puebla-angelopolis/asiento-para-bano-redondo-blanco-806849p--5</t>
  </si>
  <si>
    <t>Asiento redondo, abierto, con tapa para inodoro en color blanco</t>
  </si>
  <si>
    <t>http://www.homedepot.com.mx/banos/espejos-y-botiquines/espejos-11003-5/espejo-12-x-9-cm-bisel-reflexion-127479</t>
  </si>
  <si>
    <t>ESPE-001</t>
  </si>
  <si>
    <t>Espejo biselado de 6 mm al corte con marco de aluminio</t>
  </si>
  <si>
    <t>CHAM-001</t>
  </si>
  <si>
    <t>Chambrana marco  2" aluminio anodizado natural</t>
  </si>
  <si>
    <t>ALUVYC Dirección: Av. Don Juan de Palafox y. Mendoza 1811, Azcarate, 72000 Puebla, Pue.                  Teléfono: 222 235 3212.</t>
  </si>
  <si>
    <t>CRIST-001</t>
  </si>
  <si>
    <t>Cristal Tintex 6 mm</t>
  </si>
  <si>
    <t>http://www.homedepot.com.mx/comprar/es/puebla-angelopolis/manija-nogal-funcion-privacidad-acero-inoxidable</t>
  </si>
  <si>
    <t>CERRA-001</t>
  </si>
  <si>
    <t>Cerradura de manija marca Phillips o similar</t>
  </si>
  <si>
    <t>: http://www.homedepot.com.mx/comprar/es/puebla-angelopolis/bisagra-ligera-galvanizada-3x3</t>
  </si>
  <si>
    <t>BIS-002</t>
  </si>
  <si>
    <t>Bisagra de libro de 3" x 3" (76x76mm) con perno suelto de cabeza redonda acabado latón brillante, incluye pijas.</t>
  </si>
  <si>
    <t>http://www.homedepot.com.mx/comprar/es/puebla-angelopolis/brocha-pintor-profesional-2-1-2</t>
  </si>
  <si>
    <t>BRO-001</t>
  </si>
  <si>
    <t>Brocha cerda sintética de 2"</t>
  </si>
  <si>
    <t>LLAN-001</t>
  </si>
  <si>
    <t>Llanta 900 x 20 PXN 12 capas (camión de volteo y pipa)</t>
  </si>
  <si>
    <t>Home Depot. Vía Atlixcáyotl 5317, col. Unidad Territorial Puebla, C.P. 72400. Tel. (222) 303 8800. callcenter@homedepot.com.mx</t>
  </si>
  <si>
    <t>ADO-001</t>
  </si>
  <si>
    <t>Adocreto rojo</t>
  </si>
  <si>
    <t>http://www.homedepot.com.mx/pisos/alfombras/alfombras-11200-5/alfombra-guerrero-gris-989978</t>
  </si>
  <si>
    <t>ALF-001</t>
  </si>
  <si>
    <t>Alfombra</t>
  </si>
  <si>
    <t>http://www.homedepot.com.mx/electrico/apagadores-y-conectores/interruptores-y-apagadores/apagador-escalera-con-placa-blanco-115601</t>
  </si>
  <si>
    <t>APAG-001</t>
  </si>
  <si>
    <t>Apagador de escalera sencillo con tapa de 1 ventana</t>
  </si>
  <si>
    <t>http://www.homedepot.com.mx/electrico/apagadores-y-conectores/interruptores-y-apagadores/apagador-sencillo-con-placa-bco-422373</t>
  </si>
  <si>
    <t>APAG-002</t>
  </si>
  <si>
    <t>Apagador sencillo con placa de una ventana y elementos de sujeción</t>
  </si>
  <si>
    <t>http://www.homedepot.com.mx/pinturas/aplicadores-de-pintura/brochas/brocha-oro-de-1-corte-recto-125838</t>
  </si>
  <si>
    <t>BRO-002</t>
  </si>
  <si>
    <t>Brocha de cerda sintética #1</t>
  </si>
  <si>
    <t>Alcoine. Av. 4 Pte. 2111, San Matías, 72090 Puebla. Tel. (222) 551 0400. aalv@alcione.mx</t>
  </si>
  <si>
    <t>CREG-001</t>
  </si>
  <si>
    <t>Caja registro bticino 3/4"</t>
  </si>
  <si>
    <t>CANL-001</t>
  </si>
  <si>
    <t>Canaleta de pvc de 100 mm x 50 mm con tapa marca bticino</t>
  </si>
  <si>
    <t>http://www.homedepot.com.mx/banos/canceles-y-cabinas/cancel-corredizo-fijo-131-14-x-190-m-203567</t>
  </si>
  <si>
    <t>CANCL-001</t>
  </si>
  <si>
    <t>Cancel para regadera a base de aluminio anodizado 2" con fijo y corredizo</t>
  </si>
  <si>
    <t>CARG-001</t>
  </si>
  <si>
    <t>Centro de carga QO2 marca Square D</t>
  </si>
  <si>
    <t>http://www.homedepot.com.mx/herramientas/herramientas-electricas-portatiles/esmeriladoras-y-pulidoras/cepillo-copa-ondulado-4-436673</t>
  </si>
  <si>
    <t>CEP-001</t>
  </si>
  <si>
    <t>Cepillo ondulado de copa marca Austromex</t>
  </si>
  <si>
    <t>REG-001</t>
  </si>
  <si>
    <t>Regadera manual sistema completo tipo teléfono sin manzana color blanco marca Helvex</t>
  </si>
  <si>
    <t>REB-001</t>
  </si>
  <si>
    <t>Rebosadero con rejilla coladera redonda modelo 342-R marca Helvex</t>
  </si>
  <si>
    <t>COD-002</t>
  </si>
  <si>
    <t>codo de 50x45 de pvc</t>
  </si>
  <si>
    <t>COD-003</t>
  </si>
  <si>
    <t>Tudogar. 16 de Septiembre 6551, Puebla, 72470. Tel. (222) 122 2222. cuartillas@tudogar.com.mx</t>
  </si>
  <si>
    <t>COD-004</t>
  </si>
  <si>
    <t>Codo de cobre de 3/4" x 45°</t>
  </si>
  <si>
    <t>http://www.homedepot.com.mx/plomeria/reparacion-y-remplazo-de-plomeria/coladeras-y-desagues/rejilla-coladera-34224-28-937794</t>
  </si>
  <si>
    <t>COL-001</t>
  </si>
  <si>
    <t>Coladera marca Helvex Modelo 5424</t>
  </si>
  <si>
    <t>Gas Global Corporativo. San Martín Texmelucan 68, La Paz, 72160 Puebla. Tel. (222) 211 4020</t>
  </si>
  <si>
    <t>GAS-001</t>
  </si>
  <si>
    <t>Gas butano (Lp)</t>
  </si>
  <si>
    <t>CONE-002</t>
  </si>
  <si>
    <t>Conector de cobre rosca exterior 19 mm</t>
  </si>
  <si>
    <t>CONE-003</t>
  </si>
  <si>
    <t>Conector de cobre rosca exterior 32 mm</t>
  </si>
  <si>
    <t>CONT-001</t>
  </si>
  <si>
    <t>Contacto dúplex polarizado de 127 V x 20 A marca Bticino. Incluye material de fijación</t>
  </si>
  <si>
    <t>CONT-002</t>
  </si>
  <si>
    <t>Contacto duplex regulado Levinton. Incluye tapa de 2 ventanas</t>
  </si>
  <si>
    <t>Escoba tipo cepillo de 10" para impermeabilizar</t>
  </si>
  <si>
    <t>Sherwin Williams. 16 de septiembre. 5302/C, Las Palmas, Pubela. Tel. (222) 243 8908. prosa_sw@prodigy.net.mx</t>
  </si>
  <si>
    <t>ESML-001</t>
  </si>
  <si>
    <t>Esmalte epoxico antibacterial base agua, marca Sherwin Williams, linea b70wj02/b60vj02</t>
  </si>
  <si>
    <t>Lt</t>
  </si>
  <si>
    <t>Imperquimia. Calz. Zavaleta 5108 Local , Estrellas del Sur, Puebla 72190. Tel. (222) 284 8591. contacto@imperquimiapuebla.mx</t>
  </si>
  <si>
    <t>Impermeabilizante Elastón 5 All Terrain marca Imperquimia</t>
  </si>
  <si>
    <t>cubeta</t>
  </si>
  <si>
    <t>IMP-002</t>
  </si>
  <si>
    <t>Impermeabilizante prefabricado Vitronova Base 40 Arenado marca Imperquimia presentación rollo de 10 x 0.20 m</t>
  </si>
  <si>
    <t>interruptor termomagnético 1x40A, cat. QO140, marca Square.</t>
  </si>
  <si>
    <t>Interruptor termomagnético 1 x 15 A Square-D</t>
  </si>
  <si>
    <t>Interruptor termomagnético 3 x 60 A Square-D</t>
  </si>
  <si>
    <t>LAMP-001</t>
  </si>
  <si>
    <t>Lámpara empotrada en plafón modelo Cubic Led Acrilico 32w 100-305</t>
  </si>
  <si>
    <t>LAV-001</t>
  </si>
  <si>
    <t>Lavabo marca American Standard color blanco de cerámica porcelanizada de alto brillo Modelo Habitat de pedestal</t>
  </si>
  <si>
    <t>LIJA-001</t>
  </si>
  <si>
    <t>Lija de granulometria 1000 Fandeli</t>
  </si>
  <si>
    <t>LIJA-002</t>
  </si>
  <si>
    <t>Lija de granulometría 800 Fandeli</t>
  </si>
  <si>
    <t>http://www.homedepot.com.mx/pinturas/herramientas-y-accesorios-para-pintar/lijas/lija-esmeril-j-73-fino-750799</t>
  </si>
  <si>
    <t>LIJA-003</t>
  </si>
  <si>
    <t>Lija fina J-73</t>
  </si>
  <si>
    <t>Blvd. Atlixco 3304, Nueva Antequera, 72180 Puebla. Tel. (222) 231 8694. super.walmart.com.mx</t>
  </si>
  <si>
    <t>CLR-001</t>
  </si>
  <si>
    <t>Cloro</t>
  </si>
  <si>
    <t>CIF-001</t>
  </si>
  <si>
    <t>Limpiador de cristales Cif</t>
  </si>
  <si>
    <t>LLAVE-001</t>
  </si>
  <si>
    <t>Llave angular de bronce 3/4"</t>
  </si>
  <si>
    <t>LLAVE-002</t>
  </si>
  <si>
    <t>Llave de nariz 3/4" bronce</t>
  </si>
  <si>
    <t>LLAVE-003</t>
  </si>
  <si>
    <t>Llaves para tarja</t>
  </si>
  <si>
    <t>http://www.homedepot.com.mx/pisos/pisos-ceramicos/porcelanatos/porcelanato-159-m2-132065</t>
  </si>
  <si>
    <t>Piso porcelanato blanco</t>
  </si>
  <si>
    <t>LUM-001</t>
  </si>
  <si>
    <t>Luminaria fluorescente de 3x84w de pedestal</t>
  </si>
  <si>
    <t>PIJA-003</t>
  </si>
  <si>
    <t>Pija de 8 x 1" auto taladrante ala ancha.</t>
  </si>
  <si>
    <t>ALAM-003</t>
  </si>
  <si>
    <t>Alambre galvanizado calibre 14</t>
  </si>
  <si>
    <t>Consttrurama, 16 de Septiembre 5505, Las Palmas, 72550, Puebla. Tel. 240 7302</t>
  </si>
  <si>
    <t>POLVM-001</t>
  </si>
  <si>
    <t>http://www.homedepot.com.mx/electrico/conduit-cajas-y-accesorios/tuberia-conduit-y-accesorios/poliflex-naranja-3-4-rollo-15m-801038</t>
  </si>
  <si>
    <t>POLFLEX-001</t>
  </si>
  <si>
    <t>Poliducto flexible naranja 19 mm</t>
  </si>
  <si>
    <t>CCHALP-001</t>
  </si>
  <si>
    <t>Caja chalupa galvanizada</t>
  </si>
  <si>
    <t>http://www.homedepot.com.mx/materiales-de-construccion/cercas/mallas-ciclonicas-y-uniones/tela-gallinera-13-x-90-calibre-23-de-10-m-306204</t>
  </si>
  <si>
    <t>GALLIN-001</t>
  </si>
  <si>
    <t>Metal desplegable de acero galvanizado hexagonal para gallinero 90 cm ancho</t>
  </si>
  <si>
    <t>http://www.homedepot.com.mx/banos/sanitarios/sanitarios-de-dos-piezas/mingitorio-maybrok-126787</t>
  </si>
  <si>
    <t>MING-001</t>
  </si>
  <si>
    <t>Mingitorio marca American Standard color blanco de cerámica porcelanizada de alto brillo Modelo Allbrook 3.81 L por descarga</t>
  </si>
  <si>
    <t>http://www.homedepot.com.mx/limpieza/limpiadores-quimicos/quimicos-multiusos/limpiador-pinol-regular-1-l-378696</t>
  </si>
  <si>
    <t>PINOL-001</t>
  </si>
  <si>
    <t>Desinfectante líquido Pinol</t>
  </si>
  <si>
    <t>DTRG-001</t>
  </si>
  <si>
    <t>Detergente en polvo roma</t>
  </si>
  <si>
    <t>CE&amp;MAP, Galeotitla, San Bernardino Tlaxcalancingo, San Andrés Cholula Puebla, 72820. Tel. (222)394 5108. ventas@ceymap.com.mx</t>
  </si>
  <si>
    <t>ANDAM-001</t>
  </si>
  <si>
    <t>Módulo de 2.00 m de altura para andamio tipo tubular marca ANPASA</t>
  </si>
  <si>
    <t>renta diaria</t>
  </si>
  <si>
    <t>http://www.homedepot.com.mx/electrico/conduit-cajas-y-accesorios/tuberia-conduit-y-accesorios/s-muc-1-14-mufas-con-cuerda-1-1-4-809634</t>
  </si>
  <si>
    <t>MUFA-001</t>
  </si>
  <si>
    <t>Mufa seca para acometida de 50 mm</t>
  </si>
  <si>
    <t>http://www.homedepot.com.mx/pisos/adhesivos-y-boquillas/adhesivos/crest-plata-155778</t>
  </si>
  <si>
    <t>PEGA-003</t>
  </si>
  <si>
    <t>Pegazulejo Crest Plata</t>
  </si>
  <si>
    <t>http://www.homedepot.com.mx/decoracion/accesorios-decorativos/pelicula-de-ventana-humo-91x198-cm-500272</t>
  </si>
  <si>
    <t>PELI-001</t>
  </si>
  <si>
    <t>Pelicula esmerilada autoadherible</t>
  </si>
  <si>
    <t>PERF-001</t>
  </si>
  <si>
    <t>Perfil de aluminio 1/2"</t>
  </si>
  <si>
    <t>PERS-001</t>
  </si>
  <si>
    <t>Persiana para extractor tipo HXB500L</t>
  </si>
  <si>
    <t>Av. Del Castillo 5484, C.P. 72820, Tlaxcalancingo Puebla. Tel. (222)246 2850</t>
  </si>
  <si>
    <t>PINT-001</t>
  </si>
  <si>
    <t>Pintura de esmalte automotriz marca Comex</t>
  </si>
  <si>
    <t>PINT-002</t>
  </si>
  <si>
    <t>Pintura de esmalte alquidalico marca Osel</t>
  </si>
  <si>
    <t>PINT-003</t>
  </si>
  <si>
    <t>Pintura vinilica marca Comex línea vinimex</t>
  </si>
  <si>
    <t>PLAST-001</t>
  </si>
  <si>
    <t>Plástico negro reforzado</t>
  </si>
  <si>
    <t>CESP-002</t>
  </si>
  <si>
    <t>Cespol completo con registro, contra y chapeton de bronce cromado modelo 29-T, marca Rugo</t>
  </si>
  <si>
    <t>POLFLEX-002</t>
  </si>
  <si>
    <t>Conductor Poliflex 3/4"</t>
  </si>
  <si>
    <t>PVC-001</t>
  </si>
  <si>
    <t>Tubo de pvc sanitario 150 mm</t>
  </si>
  <si>
    <t>http://www.homedepot.com.mx/plomeria/tuberias-y-conexiones/hidraulica/codo-45-pvc-cedula-40-1-2-13mm-337867</t>
  </si>
  <si>
    <t>COD-005</t>
  </si>
  <si>
    <t>Codo de PVC 100/45°</t>
  </si>
  <si>
    <t>http://www.homedepot.com.mx/plomeria/tuberias-y-conexiones/hidraulica/codo-90-pvc-lado-liso-x-rosca-3-4-19mm-334593</t>
  </si>
  <si>
    <t>COD-006</t>
  </si>
  <si>
    <t>Codo de PVC 100/90°</t>
  </si>
  <si>
    <t>PVC-002</t>
  </si>
  <si>
    <t>Calz. Zavaleta no.4110, Sta. Cruz Buenavista, C.P: 72170, Puebla. Tel. (222) 169 5054</t>
  </si>
  <si>
    <t>SELLL-001</t>
  </si>
  <si>
    <t>Sellador 5 x 1 reforzado para pintura marca Comex</t>
  </si>
  <si>
    <t>REDBUSH-001</t>
  </si>
  <si>
    <t>Reducción bushing cobre soldable de 32 x 19 mm</t>
  </si>
  <si>
    <t>REDBUSH-002</t>
  </si>
  <si>
    <t>Reducción bushing galvanizada de 6 x 13 mm</t>
  </si>
  <si>
    <t>REGU-001</t>
  </si>
  <si>
    <t>Regulador de voltaje lan-15</t>
  </si>
  <si>
    <t>http://www.homedepot.com.mx/plomeria/tuberias-y-conexiones/tanques-reguladores-y-controladores-para-gas/regulador-para-gas-1-via-234099</t>
  </si>
  <si>
    <t>REGU-002</t>
  </si>
  <si>
    <t>Regulador para tanque de gas de una via</t>
  </si>
  <si>
    <t>RES-001</t>
  </si>
  <si>
    <t>Resina para tirol</t>
  </si>
  <si>
    <t>SELL-002</t>
  </si>
  <si>
    <t>Sellador acrilico tipo loxon primer alta resistencia (a24wm0300), marca Sherwin Williams</t>
  </si>
  <si>
    <t>SELL-003</t>
  </si>
  <si>
    <t>Sellador Ioxon Prime Sherwin Williams</t>
  </si>
  <si>
    <t>SILIC-001</t>
  </si>
  <si>
    <t>Silicón adhesivo de poliuretano blanco 550 marca 3M (cartucho de 300 ml)</t>
  </si>
  <si>
    <t>http://www.homedepot.com.mx/iluminacion/lamparas-fluorescentes/comerciales/lampara-fluorescente-t8-60w-luz-blanca-205607</t>
  </si>
  <si>
    <t>LAMP-002</t>
  </si>
  <si>
    <t>Lampara slim line 55 watts</t>
  </si>
  <si>
    <t>http://www.homedepot.com.mx/herramientas/soldadura-y-accesorios/soldadoras-y-sopletes/soplete-con-cartuchos-desechables-283013</t>
  </si>
  <si>
    <t>SOPL-001</t>
  </si>
  <si>
    <t>Soplete para plomeria con cartucho de gas butano (275gr) y boquilla marca Linmex gas</t>
  </si>
  <si>
    <t>Home Depot. Vía Atpiezaixcáyotpieza 5317, copieza. Unidad Territoriapieza Puebpiezaa, C.P. 72400. Tepieza. (222) 303 8800. capiezapiezacenter@homedepot.com.mx</t>
  </si>
  <si>
    <t>TOR-001</t>
  </si>
  <si>
    <t>Tornillo pija no. 10 de 1" cabeza fijado</t>
  </si>
  <si>
    <t>TABLE-001</t>
  </si>
  <si>
    <t>Tablero de aluminio armado de 350 mm x  1 3/4" x 1500 mm</t>
  </si>
  <si>
    <t>TABLE-002</t>
  </si>
  <si>
    <t>Tablero de distribución 30 polos</t>
  </si>
  <si>
    <t>TAP-001</t>
  </si>
  <si>
    <t>Tapón capa de cobre 13 mm</t>
  </si>
  <si>
    <t>TARJ-001</t>
  </si>
  <si>
    <t>Tarja 90 x 60 cm</t>
  </si>
  <si>
    <t>TARJ-002</t>
  </si>
  <si>
    <t>Tarja de acero inoxidable de sobreponer para 3 salidas medidas 2.10 x 0.70 x 0.90 m</t>
  </si>
  <si>
    <t>http://www.homedepot.com.mx/puertas-y-ventanas/ventanas/mosquiteros/tela-mosquitera-fibra-vidrio-120-x-1-m-101008</t>
  </si>
  <si>
    <t>TLMO-001</t>
  </si>
  <si>
    <t>Tela mosquitera reforzada</t>
  </si>
  <si>
    <t>THIN-002</t>
  </si>
  <si>
    <t>Thinner americano para pintura especial marca Comex</t>
  </si>
  <si>
    <t>Blvd. Carmen Serdán no.11 col. Las Cuartillas, C.P. 72050, Puebla. Tel. (222)195 3030. carlos_rico@radec.com.mx</t>
  </si>
  <si>
    <t>TAP-002</t>
  </si>
  <si>
    <t>Tapón para pija</t>
  </si>
  <si>
    <t>TUBFLEX-001</t>
  </si>
  <si>
    <t>Tubería flexible plástica zapa 13 mm</t>
  </si>
  <si>
    <t>http://www.homedepot.com.mx/plomeria/tuberias-y-conexiones/sanitarias/tubo-pvc-sanitario-de-50-mm-x-1-m-pre-cortado-103219</t>
  </si>
  <si>
    <t>PVC-003</t>
  </si>
  <si>
    <t>VALV-001</t>
  </si>
  <si>
    <t>Valvula de llenado doble check de bronce 3/4"</t>
  </si>
  <si>
    <t>AMESA. 15 Norte no.3 col. Centro, Puebla. Tel. 264 60 01 y 02. C.P: 72140</t>
  </si>
  <si>
    <t>VAR-002</t>
  </si>
  <si>
    <t>Varilla copper weld de 19 mm x 3.05 mts de longitud marca erico</t>
  </si>
  <si>
    <t>VAR-003</t>
  </si>
  <si>
    <t>Varilla de acero corrugada de 1/2" No. 4, f'y= 4200 kg/cm2</t>
  </si>
  <si>
    <t>VAR-004</t>
  </si>
  <si>
    <t>Varilla de acero corrugada de 3/4" No. 6, f'y= 4200 kg/cm2</t>
  </si>
  <si>
    <t>Varilla de acero corrugada de 3/8" No. 3, f'y= 4200 kg/cm2</t>
  </si>
  <si>
    <t>VAR-006</t>
  </si>
  <si>
    <t>Varilla de acero corrugada de 5/8" No. 5, f'y= 4200 kg/cm2</t>
  </si>
  <si>
    <t>LUB-001</t>
  </si>
  <si>
    <t>SAE 40W (lubricante/aceite)</t>
  </si>
  <si>
    <t xml:space="preserve">Loseta de ceramica de 60cm x 60cm marca interceramic o similar </t>
  </si>
  <si>
    <t>Jalador</t>
  </si>
  <si>
    <t>pza</t>
  </si>
  <si>
    <t>COSTO HORARIO DE MAQUINARIA Y EQUIPO</t>
  </si>
  <si>
    <t>Calcular el C.H DE UN CAMIÓN DE VOLTEO, MARCA FORD F-800 CON CAPACIDAD DE 7M3</t>
  </si>
  <si>
    <t>NOMENCLATURA</t>
  </si>
  <si>
    <t>NOMBRE</t>
  </si>
  <si>
    <t xml:space="preserve">OPERACIÓN </t>
  </si>
  <si>
    <t>DATOS GENERALES</t>
  </si>
  <si>
    <t>Vad</t>
  </si>
  <si>
    <t>Valor de Adquisicíon s/IVA</t>
  </si>
  <si>
    <t>Pn</t>
  </si>
  <si>
    <t>Valor de Llantas s/IVA</t>
  </si>
  <si>
    <t>Vn</t>
  </si>
  <si>
    <t>Vida Económica de llantas</t>
  </si>
  <si>
    <t>Horas</t>
  </si>
  <si>
    <t>Vm</t>
  </si>
  <si>
    <t>Valor inical</t>
  </si>
  <si>
    <t>Vr</t>
  </si>
  <si>
    <t>Valor de rescate</t>
  </si>
  <si>
    <t>Fo</t>
  </si>
  <si>
    <t>Factor de operación de maquinaria</t>
  </si>
  <si>
    <t>Porcentaje</t>
  </si>
  <si>
    <t>Hea</t>
  </si>
  <si>
    <t>No. De Hrs. Efectivas de Trabajo al año</t>
  </si>
  <si>
    <t>e</t>
  </si>
  <si>
    <t>Factor por combustible                gasolina</t>
  </si>
  <si>
    <t>disel</t>
  </si>
  <si>
    <t>K</t>
  </si>
  <si>
    <t>Factor de lubricante gasolina</t>
  </si>
  <si>
    <t>VIDA ECONÓMICA</t>
  </si>
  <si>
    <t>Ve</t>
  </si>
  <si>
    <t xml:space="preserve">Vida económica </t>
  </si>
  <si>
    <t>HPOP</t>
  </si>
  <si>
    <t xml:space="preserve">Potencia de operación </t>
  </si>
  <si>
    <t>FACTOR DE OPERACIÓN</t>
  </si>
  <si>
    <t>Combustible: DISEL</t>
  </si>
  <si>
    <t>Potencia de motor</t>
  </si>
  <si>
    <t>H.P</t>
  </si>
  <si>
    <t>Potencia de operación: Fo x potencia del motor</t>
  </si>
  <si>
    <t>Ko</t>
  </si>
  <si>
    <t>Factor de Mantenimiento</t>
  </si>
  <si>
    <t>I</t>
  </si>
  <si>
    <t>Tasa de interés</t>
  </si>
  <si>
    <t>S</t>
  </si>
  <si>
    <t>Tasa de Seguro</t>
  </si>
  <si>
    <t>COSTOS FIJOS</t>
  </si>
  <si>
    <t>D</t>
  </si>
  <si>
    <t>Despreciación</t>
  </si>
  <si>
    <t>IM</t>
  </si>
  <si>
    <t>Inversión</t>
  </si>
  <si>
    <t>SM</t>
  </si>
  <si>
    <t>Seguros</t>
  </si>
  <si>
    <t>MN</t>
  </si>
  <si>
    <t>Mantenimiento</t>
  </si>
  <si>
    <t>TOTAL COSTO FIJO</t>
  </si>
  <si>
    <t>COSTO POR CONSUMO</t>
  </si>
  <si>
    <t>CO</t>
  </si>
  <si>
    <t>Combustible</t>
  </si>
  <si>
    <t>Gh</t>
  </si>
  <si>
    <t>$ Disel</t>
  </si>
  <si>
    <t>LB</t>
  </si>
  <si>
    <t>Lubricantes</t>
  </si>
  <si>
    <t>(C) carter</t>
  </si>
  <si>
    <t xml:space="preserve">(T) cambios </t>
  </si>
  <si>
    <t>N</t>
  </si>
  <si>
    <t>Llantas</t>
  </si>
  <si>
    <t>TOTAL COSTO CONSUMO</t>
  </si>
  <si>
    <t xml:space="preserve">COSTO POR OPERACIÓN </t>
  </si>
  <si>
    <t>PO</t>
  </si>
  <si>
    <t>Operación</t>
  </si>
  <si>
    <t>TOTAL COSTO OPERACIÓN</t>
  </si>
  <si>
    <t>TOTAL COSTO HORARIO PARA CAMIÓN DE VOLTEO</t>
  </si>
  <si>
    <t>ESTO ES POR HORA</t>
  </si>
  <si>
    <t>Calcular el C.H DE UN VIBRADOR PARA CONCRETO, MARCA MPOWER CON MOTOR A GASOLINA DE 5.5 H.P.</t>
  </si>
  <si>
    <t>$ Gasolina</t>
  </si>
  <si>
    <t>N/A</t>
  </si>
  <si>
    <t>REVOL-001</t>
  </si>
  <si>
    <t>Calcular el C.H DE UNA REVOLVEDORA DE CONCRETO DE 1 SACO, MARCA MIPSA-KOHLER R-10, CON MOTOR A GASOLINA DE 8 H.P.</t>
  </si>
  <si>
    <t>P.UNITARIO</t>
  </si>
  <si>
    <t>PRE-001</t>
  </si>
  <si>
    <t>PRE-002</t>
  </si>
  <si>
    <t>PRE-003</t>
  </si>
  <si>
    <t>PRE-004</t>
  </si>
  <si>
    <t>PRE-005</t>
  </si>
  <si>
    <t>CIM-001</t>
  </si>
  <si>
    <t>CIM-002</t>
  </si>
  <si>
    <t>CIM-003</t>
  </si>
  <si>
    <t>CIM-004</t>
  </si>
  <si>
    <t>CIM-005</t>
  </si>
  <si>
    <t xml:space="preserve">Suministro y colocación de piso laminado de madera de 7mm marca Tekno Step modelo Cereso tabla o similar precio de tráfico pesado. Incluye: bajo alfombra, material de fijación, suministro y acarreo de materiales, mano de obra, herramienta, limpieza de la zona de trabajo, y equipo. </t>
  </si>
  <si>
    <t>ACA-003</t>
  </si>
  <si>
    <t xml:space="preserve">Suministro y colocación de zoclo Plano de 6cm marca Tekno Step o similar. Incluye: bajo alfombra, material de fijación, suministro y acarreo de materiales, mano de obra, herramienta, limpieza de la zona de trabajo, y equipo. </t>
  </si>
  <si>
    <t>M</t>
  </si>
  <si>
    <t>ACA-004</t>
  </si>
  <si>
    <t>ACA-005</t>
  </si>
  <si>
    <t>ACA-006</t>
  </si>
  <si>
    <t>ACA-007</t>
  </si>
  <si>
    <t>ACA-008</t>
  </si>
  <si>
    <t>Suministro y apliación de pintura de esmalte Comex, modelo Vinimex, color Avory a dos manos sobre plafón. Incluye: preparación y limpieza de la superficie, suministro y acarreo del material a la zona de trabajo, colocación de hule de protección, una mano de sellador, dos manos de pintura, herramientas, mano de obra, equipo.</t>
  </si>
  <si>
    <t>ACA-009</t>
  </si>
  <si>
    <t>ACA-010</t>
  </si>
  <si>
    <t>ACA-011</t>
  </si>
  <si>
    <t xml:space="preserve">ELABORACIÓN DE TRABE DE SECCIÓN 25 X 52 cm X 5.00 M FABRICADA CON CONCRETO F'C= 200 kg/cm2 , ARMADA CON ACERO DEL #4 (1/2") Y ESTRIBOS DEL #3 @ 20 cm. INCLUYE: SUMINISTRO DE MATERIALES, HABILITADO, ARMADO, AMARRES, CIMBRADO, VACIADO DE CONCRETO, VIBRADO, CURADO, HERRAMIENTA,Y EQUIPO DE SEGURIDAD.
</t>
  </si>
  <si>
    <t>CONCRETO</t>
  </si>
  <si>
    <t>CUADRILLA DE ALBAÑILERÍA (1 OFICIAL + 1 AYUDANTE ALBAÑIL)</t>
  </si>
  <si>
    <t>ACERO DE REFUERZO EN ESTRUCTURA No.4 (1/2")</t>
  </si>
  <si>
    <t>Varilla corrugada del #4</t>
  </si>
  <si>
    <t>ACE-003</t>
  </si>
  <si>
    <t xml:space="preserve">ACERO DEL #4 (1/2") </t>
  </si>
  <si>
    <t>ACERO PARA ESTRIBOS DEL #3 (3/8")</t>
  </si>
  <si>
    <t>CIMBRA PARA TRABE DE SECCIÓN DE 25CM X 52CM X 5M</t>
  </si>
  <si>
    <t>TOTAL COSTO HORARIO PARA VIBRADOR</t>
  </si>
  <si>
    <t>1/4</t>
  </si>
  <si>
    <t>1/12</t>
  </si>
  <si>
    <t>Polin para pie derecho</t>
  </si>
  <si>
    <t>Barrote para yugo</t>
  </si>
  <si>
    <t>Polin para base</t>
  </si>
  <si>
    <t>Duela para patas de gallo</t>
  </si>
  <si>
    <r>
      <rPr>
        <sz val="11"/>
        <color rgb="FF0070C0"/>
        <rFont val="Calibri"/>
        <family val="2"/>
      </rPr>
      <t>SUBPARTIDA:</t>
    </r>
    <r>
      <rPr>
        <sz val="11"/>
        <color indexed="8"/>
        <rFont val="Calibri"/>
        <family val="2"/>
      </rPr>
      <t xml:space="preserve"> PRELIMINARES</t>
    </r>
  </si>
  <si>
    <t>Trazo y nivelación a mano del terreno para establecer los ejes, banco de nivel y referencias. Incluye: materiales, mano de obra, herramientas y equipo.</t>
  </si>
  <si>
    <t>Limpieza y desenraice de terreno con hierba y maleza por medios manuales. Incluye: apile de material, mano deobra, herramienta y equipo.</t>
  </si>
  <si>
    <t>Carrga y acarreo de material producto de las limpiezas y excavaciones. Se realizará carga a camión por medios manuales y acarreo a primer km en camión de 7m3 sobre camino pavimentado. Incluye: mano de obra, herramienta, maquinaria y equipo.</t>
  </si>
  <si>
    <t>Acarreo de material producto de las limpiezas y excavaciones en camión de 7m3 a km subsecuentes. (10km)</t>
  </si>
  <si>
    <r>
      <rPr>
        <sz val="11"/>
        <color rgb="FF0070C0"/>
        <rFont val="Calibri"/>
        <family val="2"/>
      </rPr>
      <t>SUBPARTIDA:</t>
    </r>
    <r>
      <rPr>
        <sz val="11"/>
        <color indexed="8"/>
        <rFont val="Calibri"/>
        <family val="2"/>
      </rPr>
      <t xml:space="preserve"> CIMENTACIÓN</t>
    </r>
  </si>
  <si>
    <t>Suministro y colocación de loseta modelo Acadia Winter white matte de 60x60 cm marca interceramic con PEI IV o similar en características, asentado a base de mortero cemento-arena prop: 1:5, junteado con lechada de cemento blanco con junta de 1mm. Incluye: suministro y acarreo de materiales, mano de obra, herrameinta, equipo, limpieza de la zona de trabajo.</t>
  </si>
  <si>
    <t>Suministro y colocación de azulejo modelo Aston Gray esmaltado marca Interceramic de 31x61 cm, pegado con pegazulejo marca Crest Blanco, junteado con lechada de cemento blanco con junta de 1mm. Incluye: suministro y acarreo de materiales, mano de obra, herrameinta, equipo, limpieza de la zona de trabajo.</t>
  </si>
  <si>
    <t>Suministro y colocación de azulejo modelo Aston Sand esmaltado marca Interceramic de 31x61 cm, pegado con pegazulejo marca Crest Blanco, junteado con lechada de cemento blanco con junta de 1mm. Incluye: suministro y acarreo de materiales, mano de obra, herrameinta, equipo, limpieza de la zona de trabajo.</t>
  </si>
  <si>
    <t>Piso Acadia Winter White, PEI IV Interceramic, 60cm x 60cm</t>
  </si>
  <si>
    <t>Azulejo Aston Gray Esmaltado, Interceramic, 31cm x 61cm</t>
  </si>
  <si>
    <t xml:space="preserve">Azulejo Aston Sand Esmaltado, interceramic, 31cm x 61cm </t>
  </si>
  <si>
    <t>Suministro y apliación de pintura vinílica Comex, modelo Vinimex, color Garepa a dos manos sobre plafón. Incluye: preparación y limpieza de la superficie, suministro y acarreo del material a la zona de trabajo, colocación de hule de protección, una mano de sellador, dos manos de pintura, herramientas, mano de obra, equipo.</t>
  </si>
  <si>
    <r>
      <rPr>
        <sz val="11"/>
        <color rgb="FF0070C0"/>
        <rFont val="Calibri"/>
        <family val="2"/>
      </rPr>
      <t>SUBPARTIDA:</t>
    </r>
    <r>
      <rPr>
        <sz val="11"/>
        <color indexed="8"/>
        <rFont val="Calibri"/>
        <family val="2"/>
      </rPr>
      <t xml:space="preserve"> ACABADOS</t>
    </r>
  </si>
  <si>
    <t>Pintura Comex Vinimex color Garepa</t>
  </si>
  <si>
    <t>Suministro y apliación de pintura vinílica Comex, modelo Vinimex, color Balance a dos manos sobre muros interiores y exteriores. Incluye: preparación y limpieza de la superficie, suministro y acarreo del material a la zona de trabajo, colocación de hule de protección, una mano de sellador, dos manos de pintura,fletes, acarreos, elevaciones, andamios herramientas, mano de obra, equipo.</t>
  </si>
  <si>
    <t>Pintura Comex Vinimex color Balance</t>
  </si>
  <si>
    <t>Instalación de salida hidráulica para lavabo modelo Bilbao marca Interceramic considerando tuberías y conexiones de cobre de 13 mm marca nacobre. Incluye: preparación y soldadura de las conexiones, crtes de tuberías, limpieza, suministros de materiales, mano de obra, herramienta, equipo de seguridad, retiro de desperdicios a zona de acopio.</t>
  </si>
  <si>
    <t xml:space="preserve">Lavabo blanco modelo Bilbao marca Interceramic </t>
  </si>
  <si>
    <t>Sanitario Blanco modelo Ankara de dos piezas</t>
  </si>
  <si>
    <r>
      <rPr>
        <sz val="11"/>
        <color rgb="FF0070C0"/>
        <rFont val="Calibri"/>
        <family val="2"/>
      </rPr>
      <t>SUBPARTIDA:</t>
    </r>
    <r>
      <rPr>
        <sz val="11"/>
        <color indexed="8"/>
        <rFont val="Calibri"/>
        <family val="2"/>
      </rPr>
      <t xml:space="preserve"> ALABAÑILERÍA</t>
    </r>
  </si>
  <si>
    <t>Fabricación de muro de tabique de barro rojo recocido, medidas de 6 x 12 x 24 cm, asentado con mortero de cemento arena 1:5, juntra de 1.5 cm acabado común. Incluye: acarreo de materiales, mano de obra, materiales, herramienta, equipo y limpieza del lugar.</t>
  </si>
  <si>
    <t>ALB-003</t>
  </si>
  <si>
    <t>Fabricación de losa a base de vigueta y bovedilla de alma ambierrta con un peralte terminado de 0.20 m, terminado con una capa de compresión de 5cm de espesor de concreto F'c=200 kg/cm2 revenimiento de 8 a 10cm y agregado máximo de 3/4" (19mm), malla electrosoldada de refuerzo de 6x6-10/10. Incluye: andamios, nervios de temperaura a cada, materiales herramientas, mano de obra, elaboración de concreto con revolvedora, cimra, descimbra, vaciado, vibrado y curado de concreto.</t>
  </si>
  <si>
    <t>Casa Habitación en Esquina privada sin nombre y rivereña. Tlatempa Apetatitlán Tlaxcala.</t>
  </si>
  <si>
    <r>
      <rPr>
        <sz val="11"/>
        <color rgb="FF0070C0"/>
        <rFont val="Calibri"/>
        <family val="2"/>
      </rPr>
      <t>SUBPARTIDA:</t>
    </r>
    <r>
      <rPr>
        <sz val="11"/>
        <color indexed="8"/>
        <rFont val="Calibri"/>
        <family val="2"/>
      </rPr>
      <t xml:space="preserve"> ALBAÑILERÍA</t>
    </r>
  </si>
  <si>
    <r>
      <t>FABRICACIÓN DE PLANTILLA DE CONCRETO SIMPLE F´C= 100KG/CM2 DE 5 CM DE ESPESOR, CON AGREGADOMAXIMO DE 19MM (3/4), REVENMIENTO 8-10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INCLUYE: MATERIALES, FABRICACION DEL CONCRETO A MANO (SIN VIBRADOR), EQUIPO DE SEGURIDAD, HERRAMIENTA, MANO DE OBRA Y DESPERDICIOS</t>
    </r>
  </si>
  <si>
    <t>ALB-004</t>
  </si>
  <si>
    <t>ALB-005</t>
  </si>
  <si>
    <t>H</t>
  </si>
  <si>
    <r>
      <rPr>
        <sz val="11"/>
        <color indexed="12"/>
        <rFont val="Calibri"/>
        <family val="2"/>
      </rPr>
      <t>13</t>
    </r>
    <r>
      <rPr>
        <sz val="11"/>
        <color indexed="8"/>
        <rFont val="Calibri"/>
        <family val="2"/>
      </rPr>
      <t xml:space="preserve"> x 1" x 4" x 1.00m/3.657</t>
    </r>
  </si>
  <si>
    <t>2 x 2" x 4" x 1.99m/3.657</t>
  </si>
  <si>
    <t>2 x 3.5" x 3.5" x 1.00m/3.657</t>
  </si>
  <si>
    <t>1 x 1" x 4" x 3.10m/3.657</t>
  </si>
  <si>
    <t>1 x 1" x 4" x 1.00 m/3.657</t>
  </si>
  <si>
    <t>1 x 3.5" x 3.5" x 1.12m/3.657</t>
  </si>
  <si>
    <t>1 x 2" x 4" x 0.45m/3.657</t>
  </si>
  <si>
    <t>4 x 1" x 4" x 0.60m/3.657</t>
  </si>
  <si>
    <t>1 x 3.5" x 3.5" x 1.40m/3.657</t>
  </si>
  <si>
    <t>CUADR-00</t>
  </si>
  <si>
    <t>Fabricación de losa prefabricada a base de vigueta de alma abierta y bovedilla con un peralte terminado de 0.20m. Terminado con una capa de compresión de 5 cm de espesor, utilizando concreto F'C = 250 kg/cm2 agregado de 3/4", revenimiento de 8 a 10cm, malla de refuerzo 6x6/10-10. Incluye: andamios, nervios de temperatura con 2 varillas del no.3 y estribos del no.2 a cada 20 cm, materiales, herramientas, manos de obra, elaboración, elevación, vaciado, vibrado y curado de concreto.</t>
  </si>
  <si>
    <t>BOVEDILLA  DE 0.63 X 0.20 X 0.25 CM</t>
  </si>
  <si>
    <t>VIGUETA DE ALMA ABIERTA</t>
  </si>
  <si>
    <t>MALLA ELECTROSOLDADA DE REFUERZO 6X6 10/10</t>
  </si>
  <si>
    <t>CONCRETO F'C = 250 kg/cm2 AGREGADO DE 3/4", REVENIMIENTO DE 8 A 10CM</t>
  </si>
  <si>
    <t>ROLLO</t>
  </si>
  <si>
    <t>Varilla corrugada del #2</t>
  </si>
  <si>
    <t>Fabricación de firme de concreto de 10 cm de espesor concreto de F'C = 100 kg/cm2, agregado máximo de 3/4" y revenimiento de 8 a 10 cm, malla electrosoldad de refuerzo de 6x6-10/10. Incluye: acarreo de mateirales, materiales, herramientas, mano de obra, elaboración de concreto, cimbra, descimbra, vaciado, vibrado y curado de concreto.</t>
  </si>
  <si>
    <t>salida</t>
  </si>
  <si>
    <t>Suministro y colocación de aplanado de yeso proporción 1:1:1 en muros acabado a talocha. Incluye: suministro de materiales, mano de obra, herrameinta, equpo de seguridad, limpieza, acarreo de materiales.</t>
  </si>
  <si>
    <t>Aplanado en yeso proporción 1:1:1de 1 cm de espesor a talocha y nivel en plafón. Incluye: Suministro y acarreo de materiales, metal desplegado, material de fijación, mano de obra, herramienta, limpieza de la zona de trabajo y equipo.</t>
  </si>
  <si>
    <t>Instalación de salida hidráulica para wc modelo Ankara marca Interceramic considerando tubería y conexiones de cobre de 13 mm maarca nacrobre. Incluye: preparación y soldadura de las conexiones, cortes de tubería, limpieza, suministro de materiales, mano de obra, herramienta, equipo, retiro de los desperdicios a zona de acopio.</t>
  </si>
  <si>
    <t>Suministro, cimbrado y descimbrado de cimbra para cimentación con madera de pino de 3A. Acabado comun. Incluye: Herramientas, mano de obra y equipo de seguridad</t>
  </si>
  <si>
    <t xml:space="preserve">Anclaje de castillo en cimentación con armex 15x4x20. Incluye: suministro, colocacion, concreto, herramientas, mano de obra y equipo de seguridad. </t>
  </si>
  <si>
    <r>
      <rPr>
        <sz val="11"/>
        <color rgb="FF0070C0"/>
        <rFont val="Calibri"/>
        <family val="2"/>
      </rPr>
      <t>SUBPARTIDA:</t>
    </r>
    <r>
      <rPr>
        <sz val="11"/>
        <color indexed="8"/>
        <rFont val="Calibri"/>
        <family val="2"/>
      </rPr>
      <t xml:space="preserve"> HERRERÍA</t>
    </r>
  </si>
  <si>
    <r>
      <rPr>
        <sz val="11"/>
        <color rgb="FF0070C0"/>
        <rFont val="Calibri"/>
        <family val="2"/>
      </rPr>
      <t>SUBPARTIDA:</t>
    </r>
    <r>
      <rPr>
        <sz val="11"/>
        <color indexed="8"/>
        <rFont val="Calibri"/>
        <family val="2"/>
      </rPr>
      <t xml:space="preserve"> CARPINTERÍA</t>
    </r>
  </si>
  <si>
    <r>
      <rPr>
        <sz val="11"/>
        <color rgb="FF0070C0"/>
        <rFont val="Calibri"/>
        <family val="2"/>
      </rPr>
      <t>SUBPARTIDA:</t>
    </r>
    <r>
      <rPr>
        <sz val="11"/>
        <color indexed="8"/>
        <rFont val="Calibri"/>
        <family val="2"/>
      </rPr>
      <t xml:space="preserve"> CANCELERÍA Y CRISTAL</t>
    </r>
  </si>
  <si>
    <t>HERR-002</t>
  </si>
  <si>
    <t>HERR-003</t>
  </si>
  <si>
    <t>HERRR-004</t>
  </si>
  <si>
    <t xml:space="preserve">Suministro y colocación de base metálica para calentador a base de herrería estructural con redondos de 1/2" y taquetes de plático de 1/4" con pijas del No. 8 x 1 1/2". Inluye: material de fijación, materiales, herramienta, mano de obra y equipo. </t>
  </si>
  <si>
    <t>HERR-005</t>
  </si>
  <si>
    <t>CARP-001</t>
  </si>
  <si>
    <t>Suministro y colocación de puerta de 2.10 x 1.00m entablerada con madera de cedro estufada y barniz semi mate color chocolate con detalle de ranuras. Incluye: cerradura, tornillos, bisagras y chapa phillips 525 AN, materiales, herramienta, mano de obra y equipo.</t>
  </si>
  <si>
    <t>Suministro y colocación de puerta de 2.10 x 0.90m de tambir hecha de bastidor de madera de pino y triplay banak de 6mm y barniz semi mate color chocolate con detalle de ranuras. Incluye: cerradura, tornillos, bisagras y chapa phillips 525 AN, materiales, herramienta, mano de obra y equipo.</t>
  </si>
  <si>
    <t>CANCE-001</t>
  </si>
  <si>
    <t>CARP-002</t>
  </si>
  <si>
    <t>CANCE-002</t>
  </si>
  <si>
    <t>CANCE-003</t>
  </si>
  <si>
    <t>CANCE-004</t>
  </si>
  <si>
    <t>CANCE-005</t>
  </si>
  <si>
    <t>Suministro y colocación de domo de aluminio natural de 2" con vidirio de 6mm natural, medidas de 1.40 x 1.50 m. Incluye: tornillos, materiales, herramientas, mano de obra y equipo.</t>
  </si>
  <si>
    <t>CANCE-006</t>
  </si>
  <si>
    <t>CANCE-007</t>
  </si>
  <si>
    <t>CANCE-008</t>
  </si>
  <si>
    <t>CANCE-009</t>
  </si>
  <si>
    <t>CARP-003</t>
  </si>
  <si>
    <t>Suministro y colocación de barandal hecho a base de solera de 1/2" con redondos de 3/8" y tablón de madera de cedro estufada de primera con barniz polyform. Incluye: tornillos, material, herramientas, mano de obra y equipo.</t>
  </si>
  <si>
    <t>Fabricación y colocación de closet de 2.40 x 2.35 m hecho a base de bastidores de madera de pino y triplay de 6 y 4 mm con detalles de lámina de acero inoxidable calibre 24 y herrajes de aluminio, barniz semi mate color chocolate. Incluye: acarreo de materiales, materiales, herramienta, mano de obra y equipo.</t>
  </si>
  <si>
    <t>Fabricación y colocación de closet de 2.40 x 4.00 m hecho a base de bastidores de madera de pino y triplay de 6 y 4 mm con detalles de lámina de acero inoxidable calibre 24 y herrajes de aluminio, barniz semi mate color chocolate. Incluye: acarreo de materiales, materiales, herramienta, mano de obra y equipo.</t>
  </si>
  <si>
    <t>Fabricación y colocación de cajoneras y esapcio para troncos hecho a base de bastidores de madera de pino y triplay de 6 y 4 mm con detalles de lámina de acero inoxidable calibre 24 y herrajes de aluminio, barniz semi mate color chocolate. Superficies de mármol travertino de 3cm de espesor con faldón de 6 cm y zoclos de 10cm.Incluye: acarreo de materiales, materiales, herramienta, mano de obra y equipo.</t>
  </si>
  <si>
    <t>CARP-004</t>
  </si>
  <si>
    <t>CARP-005</t>
  </si>
  <si>
    <t>CARP-006</t>
  </si>
  <si>
    <t>Instalación de salida hidráulica para fregadero de cocina modelo Ankara marca Interceramic considerando tubería y conexiones de cobre de 13 mm marca nacrobre. Incluye: preparación y soldadura de las conexiones, cortes de tubería, limpieza, suministro de materiales, mano de obra, herramienta, equipo, retiro de los desperdicios a zona de acopio.</t>
  </si>
  <si>
    <t>Instalación de salida hidráulica para wc modelo Ankara marca Interceramic considerando tubería y conexiones de cobre de 13 mm marca nacrobre. Incluye: preparación y soldadura de las conexiones, cortes de tubería, limpieza, suministro de materiales, mano de obra, herramienta, equipo, retiro de los desperdicios a zona de acopio.</t>
  </si>
  <si>
    <r>
      <rPr>
        <sz val="11"/>
        <color rgb="FF0070C0"/>
        <rFont val="Calibri"/>
        <family val="2"/>
      </rPr>
      <t>SUBPARTIDA:</t>
    </r>
    <r>
      <rPr>
        <sz val="11"/>
        <color indexed="8"/>
        <rFont val="Calibri"/>
        <family val="2"/>
      </rPr>
      <t xml:space="preserve"> INSTALACIONES ELECTRICAS</t>
    </r>
  </si>
  <si>
    <t>ELEC-001</t>
  </si>
  <si>
    <t>Suministro e instalación eléctrica de concentración de medidores para obra negra. Incluye: base de medidor (provicional), tubo conduit de PVC de 1 1/4", poliducto de 19mm y conexiones, materiales, herramietna, mano de obra y equipo.</t>
  </si>
  <si>
    <t>ELEC-002</t>
  </si>
  <si>
    <t>ELEC-003</t>
  </si>
  <si>
    <t>ELEC-004</t>
  </si>
  <si>
    <t>ELEC-005</t>
  </si>
  <si>
    <t>ELEC-006</t>
  </si>
  <si>
    <t>Fabricación de lavadero con pileta de concreto medidas 0.40 x 0.51 m, con concreto de F'C = 100 kg/cm2 agregado de 3/4" con revenimiento de 8 a 10 cm. Incluye: suministro de materiales, mano de obra, herramienta y equipo.</t>
  </si>
  <si>
    <t>PARTIDA: PLANTA ALTA</t>
  </si>
  <si>
    <t>Instalación de salida hidráulica para regadera tipo de ducha de chorro fijo de 8" marca Helvex modelo H-3002 color aluminio, considerando tubería y conexiones de cobre de 13 mm maarca nacrobre. Incluye: preparación y soldadura de las conexiones, cortes de tubería, limpieza, suministro de materiales, mano de obra, herramienta, equipo, retiro de los desperdicios a zona de acopio.</t>
  </si>
  <si>
    <t>PARTIDA: PLANTA AZOTEA</t>
  </si>
  <si>
    <t>Fabricación de pretil de azotea con tabique de barro rojo recocido, medidas de 6 x 12 x 24 cm, asentado con mortero de cemento arena 1:5, juntra de 1.00 cm acabado común, altura 0.25m. Incluye: elevación de materiales, mano de obra, materiales, herramienta, equipo y limpieza del lugar.</t>
  </si>
  <si>
    <t xml:space="preserve">Fabricación de entortado en azotea con mortero cemento cal arena 1:1:6 de 3cm promedio, con acabado fino para recibir impermeabilizante. Incluye: relleno de tezontle de 10 cm, elevación de materiales, materiales, herramientas, mano de obra y equipo. </t>
  </si>
  <si>
    <t>Fabricación de chaflán de azotea de 10 x 10cm con pedaceria de tabique junteado con mortero cemento cal arena 1:1:4. Incluye: elevación de materiales, materiales, herramientas, mano de obra y equipo.</t>
  </si>
  <si>
    <t>Suministro y colocación de tapajuntas de lámina galvanizada en azotea cal.20. Incluye: elevación de materiales, materiales, herramientas, mano de obra y equipo.</t>
  </si>
  <si>
    <t>Fabricqación de firme de concreto F'C= 150 kg/cm2 con 5 cm de espesor, sin refuerzo. Incluye: elevación de materiales, materiales, herramienta, mano de obra, equipo.</t>
  </si>
  <si>
    <t>ACA-012</t>
  </si>
  <si>
    <t>PARTIDA: PLANTA BAJA</t>
  </si>
  <si>
    <t>ALB-007</t>
  </si>
  <si>
    <t>ALB-008</t>
  </si>
  <si>
    <t>ALB-009</t>
  </si>
  <si>
    <t>ALB-010</t>
  </si>
  <si>
    <t>ALB-011</t>
  </si>
  <si>
    <t>ALB-012</t>
  </si>
  <si>
    <t>I-ELE-003</t>
  </si>
  <si>
    <t>Tablero de distribución QO-12</t>
  </si>
  <si>
    <t>Interruptor termomagnético de 2 x 20A</t>
  </si>
  <si>
    <t>Interruptor termomagnéticos de 1 x 30A</t>
  </si>
  <si>
    <t>Interruptor termomagnéticos de 1 x 15A</t>
  </si>
  <si>
    <t>Cuadrilla de pintores (1 oficial + 1 ayudante pintor)</t>
  </si>
  <si>
    <t>Cuadrilla de Azulejeros  (1 oficial + 1 ayudante )</t>
  </si>
  <si>
    <t>Cuadrilla de albañleria  (1 oficial + 5 ayudante )</t>
  </si>
  <si>
    <t>Cuadrilla de fierreros (1 oficial + 1 ayudante )</t>
  </si>
  <si>
    <t>Cuadrilla de carpintería de obra negra (1 oficial + 1 ayudante )</t>
  </si>
  <si>
    <t>Cuadrilla de eletricistas (1 oficial + 1 ayudante )</t>
  </si>
  <si>
    <t>Oficial Electricista</t>
  </si>
  <si>
    <t>Ayudante Electricista</t>
  </si>
  <si>
    <t>CUDRILLA ELECTRICISTAS (1 OFICIAL + 1 AYUDANTE ELECTRICISTA)</t>
  </si>
  <si>
    <t>TAB-FZA-12</t>
  </si>
  <si>
    <t>ITM-1X15 A</t>
  </si>
  <si>
    <t>ITM-1X30 A</t>
  </si>
  <si>
    <t>ITM-2X20 A</t>
  </si>
  <si>
    <t>PISO-001</t>
  </si>
  <si>
    <t>PISO-002</t>
  </si>
  <si>
    <t>AZU-001</t>
  </si>
  <si>
    <t>AZU-002</t>
  </si>
  <si>
    <t>PINT-004</t>
  </si>
  <si>
    <t>PINT-005</t>
  </si>
  <si>
    <t>LAV-002</t>
  </si>
  <si>
    <t>SANI-001</t>
  </si>
  <si>
    <t>ITM-1X40A</t>
  </si>
  <si>
    <t>ITM-3X60 A</t>
  </si>
  <si>
    <t>Tablero de distribución QO 12</t>
  </si>
  <si>
    <t>Interruptor termomagnético de 1x30 A</t>
  </si>
  <si>
    <t>Interruptor termomagnético de 2x20A</t>
  </si>
  <si>
    <t>Inodoro</t>
  </si>
  <si>
    <t>Junta prohel o cuello de cera</t>
  </si>
  <si>
    <t>Asiento redondo blanco</t>
  </si>
  <si>
    <t>Llave de control hidráulico</t>
  </si>
  <si>
    <t>Pijas para inodor</t>
  </si>
  <si>
    <t>JUEGO</t>
  </si>
  <si>
    <t>IN-001</t>
  </si>
  <si>
    <t>ASIEN-001</t>
  </si>
  <si>
    <t>Coflex para inodoro</t>
  </si>
  <si>
    <t>LLAV-HID</t>
  </si>
  <si>
    <t>Cuadrilla de Plomeros (1 oficial + 1 ayudante )</t>
  </si>
  <si>
    <t>Oficial Plomero</t>
  </si>
  <si>
    <t>CUADR-008</t>
  </si>
  <si>
    <t>Ayudante Plomero</t>
  </si>
  <si>
    <t>CUDRILLA PLOMEROS (1 OFICIAL + 1 AYUDANTE PLOMERO)</t>
  </si>
  <si>
    <t>CUADR-009</t>
  </si>
  <si>
    <t>Cuadrilla de 1 Ayudante</t>
  </si>
  <si>
    <t>Ayudante General</t>
  </si>
  <si>
    <t>CAMIÓN DE VOLTEO, MARCA FORD F-800 CON CAPACIDAD DE 7M3</t>
  </si>
  <si>
    <t>m3/jor</t>
  </si>
  <si>
    <t>ACARREO DEL MATERIAL PRODUCTO DE LAS LIMPIEZAS, DEMOLICIÓNES Y EXCAVACIÓNES EN CAMIÓN DE 7 M3 A KILÓMETROS SUBSECUENTES (10 KM).</t>
  </si>
  <si>
    <t>m3/km</t>
  </si>
  <si>
    <t xml:space="preserve">SUMINISTRO Y APLICACIÓN DE PINTURA VINÍLICA MARCA COMEX, A DOS MANOS SOBRE MUROS INTERIORES. INCLUYE: PREPARACIÓN DE LA SUPERFICIE, COLOCACIÓN DE  HULE PARA PROTECCIÓN, UNA MANO DE SELLADOR, DOS MANOS DE PINTURA, EQUIPO DE SEGURIDAD, HERRAMIENTAS, MANO DE OBRA. </t>
  </si>
  <si>
    <t>PINTURA VINÍLICA MARCA COMEX</t>
  </si>
  <si>
    <t>HULE PARA PROTEGER</t>
  </si>
  <si>
    <t>Hule para proteger</t>
  </si>
  <si>
    <t>HULE-001</t>
  </si>
  <si>
    <t>CUADRILLA PINTORES (1 OFICIAL + 1 AYUDANTE)</t>
  </si>
  <si>
    <t>SEG-002</t>
  </si>
  <si>
    <t>Segueta</t>
  </si>
  <si>
    <t>BROCHA</t>
  </si>
  <si>
    <t>SALIDA</t>
  </si>
  <si>
    <t>I-HID-001</t>
  </si>
  <si>
    <t>TUBERÍA Cu 13mm</t>
  </si>
  <si>
    <t>CODO Cu 13mm x 90"</t>
  </si>
  <si>
    <t>SEGUETA</t>
  </si>
  <si>
    <t>BOTE/PZA</t>
  </si>
  <si>
    <t>SOLDADURA (CARRTE 454 gr)</t>
  </si>
  <si>
    <t>LIJA FINA</t>
  </si>
  <si>
    <t>PASTA FUNDENTE (BOTE 100 gr)</t>
  </si>
  <si>
    <t>ESTOPA</t>
  </si>
  <si>
    <t>GAS BUTANO (CARTUCHO 275 gr)</t>
  </si>
  <si>
    <t>CARTUCHO/PZA</t>
  </si>
  <si>
    <t>PASTA FUN-002</t>
  </si>
  <si>
    <t>PASTA FUN-001</t>
  </si>
  <si>
    <t>CUDRILLA DE PLOMERÍA (1 OFICIAL PLOMERO + 1 AYUDANTE)</t>
  </si>
  <si>
    <t>INSTALACIÓN DE SALIDA SANITARIA PARA LAVABO CONSIDERANDO TUBERÍA Y CONEXIONES DE PVC DE 2". INCLUYE: PREPARACIÓN DEL ÁREA DE TRABAJO, PREPARACIÓN Y ADHESIÓN DE LAS CONEXIONES, CORTES DE TUBERÍA, LIMPIEZA, SUMINISTRO DE MATERIALES, MANO DE OBRA, HERRAMIENTA, EQUIPO DE SEGURIDAD, RETIRO DE LOS DESPERDICIOS DE LOS MATERIALES A LA ZONA DE ACOPIO Y TODO LO NECESARIO PARA LACORRECTA EJECUCIÓN DE LOS TRABAJOS.</t>
  </si>
  <si>
    <t>I-SAN-001</t>
  </si>
  <si>
    <t>MUEB-SAN-001</t>
  </si>
  <si>
    <t>TUBCU-001</t>
  </si>
  <si>
    <t>CODCU-001</t>
  </si>
  <si>
    <t>Tubería Cu 13mm</t>
  </si>
  <si>
    <t>Codo Cu 13mm x 90"</t>
  </si>
  <si>
    <t>TUBERÍA PVC 2"</t>
  </si>
  <si>
    <t>PEGAMENTO PARA PVC (480 gr)</t>
  </si>
  <si>
    <t>CODO PVC 2" X 90°</t>
  </si>
  <si>
    <t>Tubo pvc de 50mm (2")</t>
  </si>
  <si>
    <t>CUDRILLA DE 1 AYUDANTE + 1 CABO</t>
  </si>
  <si>
    <t>SEGUETA DE DIENTE GRUESO</t>
  </si>
  <si>
    <t>codo de 50mm (2") x 90</t>
  </si>
  <si>
    <t>redondeado</t>
  </si>
  <si>
    <t>I-HID-002</t>
  </si>
  <si>
    <t>TEEs</t>
  </si>
  <si>
    <t>PASTA-FUN-002</t>
  </si>
  <si>
    <t>TEEs Cu 13 mm</t>
  </si>
  <si>
    <t>Soldadura carrete 454 gr, LENOX</t>
  </si>
  <si>
    <t>I-SAN-002</t>
  </si>
  <si>
    <t>INSTALACIÓN DE SALIDA SANITARIA PARA INODORO CONSIDERANDO TUBERÍA Y CONEXIONES DE PVC DE 4". INCLUYE: PREPARACIÓN DEL ÁREA DE TRABAJO, PREPARACIÓN Y ADHESIÓN DE LAS CONEXIONES, CORTES DE TUBERÍA, LIMPIEZA, SUMINISTRO DE MATERIALES, MANO DE OBRA, HERRAMIENTA, EQUIPO DE SEGURIDAD, RETIRO DE LOS DESPERDICIOS DE LOS MATERIALES A LA ZONA DE ACOPIO Y TODO LO NECESARIO PARA LACORRECTA EJECUCIÓN DE LOS TRABAJOS.</t>
  </si>
  <si>
    <t>Tubo de pvc sanitario liso de 100 mm(4")</t>
  </si>
  <si>
    <t>Reducción campana PVC de 4" a 2"</t>
  </si>
  <si>
    <t>TEE PVC 4"</t>
  </si>
  <si>
    <t>TEE-Cu-001</t>
  </si>
  <si>
    <t>TEE-PVC-001</t>
  </si>
  <si>
    <t>TUBERÍA PVC 4"</t>
  </si>
  <si>
    <t>REDUCCIÓN CAMPANA PVC DE 4" A 2"</t>
  </si>
  <si>
    <t>TEE PVC 4" PYCSA</t>
  </si>
  <si>
    <t>REC-PVC-001</t>
  </si>
  <si>
    <t>COLOCACIÓN DE REPELLADO DE ESPESOR DE 2.5CM EN MUROS DE TABIQUE A BASE DE MORTERO CEMENTO-ARENA PROPORCIÓN 1:4 CON PLOMO Y REGLA A UNA ALTURA DE 4M. INCLUYE: MATERIALES, HERRAMIENTA, MANO DE OBRA Y EQUIPO DE SEGURIDAD</t>
  </si>
  <si>
    <t>CUADRILLA ALBAÑILERIA (1 OFICIAL + 1 AYUDANTE)</t>
  </si>
  <si>
    <t>MORTERO CEMENTO-ARENA 1:4</t>
  </si>
  <si>
    <t xml:space="preserve">LIMPIEZA Y DESENRAICE DE TERRENO CON HIERBA Y MALEZA POR MEDIOS MANUALES  DE 0.00 A  0.50 M DE ALTURA. INCLUYE APILE DEL MATERIAL, MANO DE OBRA, HERRAMIENTA Y EQUIPO DE SEGURIDAD. </t>
  </si>
  <si>
    <t>DEMOLICIÓN DE MUROS DE MATERIAL MIXTO (TABIQUE Y BLOCK) SIN RECUPERACIÓN DEL MATERIAL, POR MEDIOS MANUALES. INCLUYE: MANO DE OBRA, HERRAMIENTA Y EQUIPO DE SEGURIDAD</t>
  </si>
  <si>
    <t>EXCAVACIÓN DE CEPAS POR MEDIOS MANUALES DE 0.00 A -2.00 M DE PROFUNDIDAD EN MATERIAL TIPO 1 (100%TIERRA). INCLUYE: AFINE DE CEPAS, MANO DE OBRA, HERRAMIENTA Y EQUIPO DE SEGURIDAD</t>
  </si>
  <si>
    <t>CUADR-010</t>
  </si>
  <si>
    <t>CUADRILLA LIMPIEZA (2 AYUDANTES)</t>
  </si>
  <si>
    <t>CUADRILLA  (2 AYUDANTES)</t>
  </si>
  <si>
    <t xml:space="preserve">Bovedilla 0.63 x0.20 x 0.25 cm </t>
  </si>
  <si>
    <t>BOVE-002</t>
  </si>
  <si>
    <t>CIMBR-002</t>
  </si>
  <si>
    <t xml:space="preserve">FABRICACIÓN DE LOSA PLANA EN ESTRUCTURA DE 10cm DE PERALTE REFORZADA CON ACERO DE 3/8"EN AMBOS SENTIDOS A c/20cm, CONCRETO F'C = 200 Kg/cm2,AGREGADO MÁXIMO agregado máximo 3/4"(19mm) con revenimiento de 8 a 10cm y cimbra aparente. Incluye: suministro de materiales, mado de obra, herramienta, equipo de seguridad. </t>
  </si>
  <si>
    <t>Gas butano (Cartucho 275 gr) Linmex</t>
  </si>
  <si>
    <t>GAS-002</t>
  </si>
  <si>
    <t>AND-001</t>
  </si>
  <si>
    <t>R/D</t>
  </si>
  <si>
    <t>Andamio de 4.00 m de altura tipo tubular con plataforma de 1.93 x 1.52 m, barandal de seguridad y ruedas con sujetador marca ANPASA modelo AND/2</t>
  </si>
  <si>
    <t>Modulos de 2m de altura tipo tubular marca ANPASA</t>
  </si>
  <si>
    <t>MOD-2M</t>
  </si>
  <si>
    <t>Cuadrilla de ayudantes gral (2 ayudante generales)</t>
  </si>
  <si>
    <t xml:space="preserve">Equipo </t>
  </si>
  <si>
    <t>Cuadrilla de 2 Ayudante</t>
  </si>
  <si>
    <t>ANDAMIO DE 4.00 m DE ALTURA</t>
  </si>
  <si>
    <t>I-ELE-001</t>
  </si>
  <si>
    <t>I-ELE-002</t>
  </si>
  <si>
    <t>SUMINISTRO Y COLOCACIÓN DE TABLERO DE TUBERÍA CONDUIT P.G.G. 19mm (3/4"). INCLUYE: SUMINISTRO DE MATERIALES, MANO DEOBRA, HERRAMIENTAS Y EQUIPO.</t>
  </si>
  <si>
    <t>TUBO CONDUIT 3/4"</t>
  </si>
  <si>
    <t>pza (3m)</t>
  </si>
  <si>
    <t>SUMINISTRO E INSTALACIÓN DE CABLE DE COBRE FORRADO MARCA CONDULAC CON 2 CONDUCTORES CAL NO. 10 Y 1 CONDUCTOR DE COBRE DESNUDO PARA TIERRA FÍSICA CALIBRE NO.14. INCLUYE: MATERIALES, MANO DE OBRA, EQUIPO DE SEGURIDAD, HERRAMIENTA, RETIRO DE LOS DESPERDICIOS DE LOS MATERIALES A LA ZONA DE ACOPIO.</t>
  </si>
  <si>
    <t>SUMINISTRO Y COLOCACIÓN DE TABLERO DE DISTRIBUCIÓN QO-12. INCLUYE: 7 INTERRUPTORES TERMOMAGNETICOS DE 1 X 15A, 3 INTERRUPTORES TERMOMAGNETICOS DE 1 X 30A, 1 INTERRUPTOR TERMOMAGNETICO DE 2 X 20A.  INCLUYE:MATERIALES, MANO DE OBRA,  EQUIPO DE SEGURIDAD, HERRAMIENTA, RETIRO DE LOS DESPERDICIOS DE LOS MATERIALES A LA ZONA DE ACOPIO.</t>
  </si>
  <si>
    <t>SUMINISTRO Y COLOCACIÓN DE INODORO DE TANQUE MARCA AMERICAN ESTANDAR COLOR BLANCO DE CERÁMICA PORCELANIZADA DE ALTO BRILLO CONSUMO DE 4,8LTS, MODELO MAINSTREAM FLOWISE, CON ASIENTO REDONDO COLOR BLANCO, MANGUERA FLEXIBLE COFLEX Y LLAVE DE CONTROL DE PASO HIDRÁULICO. INCLUYE SUMINISTRO DE MATERIALES, MANO DE OBRA, HERRAMIENTA, EQUIPO DE SEGURIDAD,MATERIAL DE FIJACIÓN.</t>
  </si>
  <si>
    <t>INSTALACIÓN DE SALIDA HIDRÁULICA PARA LAVABO CONSIDERANDO TUBERÍA Y CONEXIONES DE COBRE DE 13mm MARCA NACOBRE. INCLUYE: PREPARACIÓN DEL ÁREA DE TRABAJO, RANURADOS EN MURO, PREPARACIÓN Y SOLDADURA DE LAS CONEXIONES, CORTES DE TUBERÍA, LIMPIEZA, SUMINISTRO DE MATERIALES, MANO DE OBRA, HERRAMIENTA, EQUIPO DE SEGURIDAD, RETIRO DE LOS DESPERDICIOS DE LOS MATERIALES A LA ZONA DE ACOPIO.</t>
  </si>
  <si>
    <t>INSTALACIÓN DE SALIDA HIDRÁULICA PARA SANITARIO CONSIDERANDO TUBERÍA Y CONEXIONES DE COBRE DE 13mm MARCA NACOBRE. INCLUYE: PREPARACIÓN DEL ÁREA DE TRABAJO, RANURADOS EN MURO, PREPARACIÓN Y SOLDADURA DE LAS CONEXIONES, CORTES DE TUBERÍA, LIMPIEZA, SUMINISTRO DE MATERIALES, MANO DE OBRA, HERRAMIENTA, EQUIPO DE SEGURIDAD, RETIRO DE LOS DESPERDICIOS DE LOS MATERIALES A LA ZONA DE ACOPIO.</t>
  </si>
  <si>
    <t>CABLE DE COBRE FORRADO CALIBRE 10</t>
  </si>
  <si>
    <t>CABLE DE COBRE DESNUDO CALIBRE 14</t>
  </si>
  <si>
    <t xml:space="preserve">CALCULAR EL  C.H. de un VIBROCOMPACTADOR MARCA MPOWER, CON MOTOR A GASOLINA DE 5.5 H.P. </t>
  </si>
  <si>
    <t>BAIL-001</t>
  </si>
  <si>
    <t>Factor de lubricante                      gasolina</t>
  </si>
  <si>
    <t>BAILARINA (VIBROCOMPACTADOR) MARCA MPOWER, 5.5 H.P</t>
  </si>
  <si>
    <t>TRAZO Y NIVELACIÓN A MANO DEL TERRENO PARA ESTABLECER LOS EJES, BANCO DE NIVEL Y REFERENCIAS. INCLUYE: MATERIALES, MANO DE OBRA, HERRAMIENTAS Y EQUIPO.</t>
  </si>
  <si>
    <t xml:space="preserve">CARGA Y ACARREO DE MATERIAL PRODUCTO DE LAS LIMPIEZAS, DEMOLICIONES Y EXCAVACIÓNES. SE REALIZARÁ CARGA A CAMIÓN POR MEDIOS MANUALES Y ACARREO A PRIMER KM EN CAMIÓN DE 7 M3 SOBRE CAMINO PAVIMENTADO. INCLUYE: MANO DE OBRA, HERRAMIENTA, MAQUINARIA, EQUIPO. </t>
  </si>
  <si>
    <r>
      <t>FABRICACIÓN DE PLANTILLA DE CONCRETO SIMPLE F´C= 100KG/CM2 DE 5 CM DE ESPESOR, CON AGREGADO MAXIMO DE 19MM (3/4), REVENMIENTO 8-10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INCLUYE: MATERIALES, FABRICACION DEL CONCRETO A MANO, EQUIPO DE SEGURIDAD, HERRAMIENTA, MANO DE OBRA Y DESPERDICIOS</t>
    </r>
  </si>
  <si>
    <t>CONCRETO F'C=250 kg/cm2</t>
  </si>
  <si>
    <t xml:space="preserve">ACERO DEL #3 (3/8") </t>
  </si>
  <si>
    <t>ACERO PARA ESTRIBOS DEL #2 (1/4")</t>
  </si>
  <si>
    <t>ACERO DE REFUERZO DEL No.2 (1/4")</t>
  </si>
  <si>
    <t>CIMBR-003</t>
  </si>
  <si>
    <t>Duela</t>
  </si>
  <si>
    <t>redondeo</t>
  </si>
  <si>
    <t>1 x 3.5" x 3.5" x 2.35m/3.657</t>
  </si>
  <si>
    <t>6 x 1" x 4" x 1.00m/3.657</t>
  </si>
  <si>
    <t>FABRICACIÓN DE FIRME DE CONCRETO DE 10 CM DE ESPESOR, CONCRETO DE F´C = 100kg/cm2, AGREGADO MÁXIMO DE 3/4" Y REVENIMIENTO DE 8 A 10 CM, MALLA ELECTROSOLDAD DE REFUERZO DE 6X6-10/10, INCLUYE: ACARREO DE MATERIALES, MATERIALES, HERRAMIETNAS, MANO DE OBRA, ELABORACIÓN DE CONCRETO, CIMBRA, DESCIMBRE, VACIADO, VIBRADO Y CURADO DE CONCRETO.</t>
  </si>
  <si>
    <t>MALLA ELECTROSOLDAD DE REFUERZO DE 6X6-10/10</t>
  </si>
  <si>
    <t>CONCRETO DE F´C = 100kg/cm2</t>
  </si>
  <si>
    <t>CIMBRA DE LOSA DE SECCIÓN DE 1.00 x 1.00 m</t>
  </si>
  <si>
    <t>Fabricación de losa a base de vigueta y bovedilla de alma ambierta con un peralte terminado de 0.20 m, con una capa de compresión de 5cm de espesor de concreto F'c=250 kg/cm2 revenimiento de 8 a 10cm y agregado máximo de 3/4" (19mm), malla electrosoldada de refuerzo de 6x6-10/10. Incluye: andamios, nervios de temperatura con 2 varillas del no.3 y estribos del no.2 a cada 20cm, materiales herramientas, mano de obra, elaboración de concreto, cimra, descimbra, vaciado, vibrado y curado de concreto.</t>
  </si>
  <si>
    <t>CONCR-13</t>
  </si>
  <si>
    <t xml:space="preserve">Fabricación de losa plana en estructura de 10 cm de peralte reforzada con acero de 3/8" en ambos sentidos a/c 20 cm, concreto F'C = 200 kg/cm2, agregado máximo 3/4"(19mm) con revenimiento de 8 a 10cm y cimbra aparente Incluye: suministro de materiales, mano de obra, herramienta, equipo de seguridad. </t>
  </si>
  <si>
    <t>LOSETA DE BARRO RECOCIDO DE 30X30 CM INTERCERAMIC</t>
  </si>
  <si>
    <t>LOS-002</t>
  </si>
  <si>
    <t>Loseta de barro recodido de 30x30cm</t>
  </si>
  <si>
    <t>JUNTA DE CEMENTO BLANCO DE 1 CM</t>
  </si>
  <si>
    <t>SUMINISTRO Y COLOCACION DE PISO DE LOSETA DE BARRO RECOCIDO DE 30X30X1.5 CM , MARCA INTERCERAMIC, O SIMILAR EN CARACTERÍSTICAS, ASENTADO A BASE DE MORTERO CEMENTO-ARENA PROP: 1:5, JUNTEADO CON CEMENTO BLANCO  CON JUNTA MAXIMA DE 1CM. INCLUYE: SUMINISTRO DE MATERIALES, MANO DE OBRA, HERRAMIENTA, EQUIPO DE SEGURIDAD</t>
  </si>
  <si>
    <t xml:space="preserve">SUMINISTRO Y APLICACIÓN DE PINTURA VINÍLICA MARCA COMEX MODELO VINIMEX COLOR BALANCE, A DOS MANOS SOBRE MUROS INTERIORES Y EXTERIORES. INCLUYE: PREPARACIÓN Y LIMPIEZADE LA SUPERFICIE, SUMINISTRO Y ACARREO DE MAETERIAL A LA ZONA DE TRABAJO, COLOCACIÓN DE  HULE PARA PROTECCIÓN, UNA MANO DE SELLADOR 5:1, DOS MANOS DE PINTURA, FLETES, ACARREOS, ELEVACIONES, ANDAMIOS, EQUIPO DE SEGURIDAD, HERRAMIENTAS, MANO DE OBRA. </t>
  </si>
  <si>
    <t>SUMINISTRO Y COLOCACION DE LOSETA MODELO ACADIA WINTEE WHITE MATTE DE 60X60X1 CM, MARCA INTERCERAMIC PEI IV, O SIMILAR EN CARACTERÍSTICAS, ASENTADO A BASE DE MORTERO CEMENTO-ARENA PROP: 1:5, JUNTEADO CON LECHADA DE CEMENTO BLANCO  CON JUNTA MAXIMA DE 1MM. INCLUYE: SUMINISTRO DE MATERIALES, ACARREO MANO DE OBRA, HERRAMIENTA, EQUIPO DE SEGURIDAD Y LIEMPIEZA DEL ESPACIO,</t>
  </si>
  <si>
    <t>SUMINISTRO Y COLOCACION DE AZULEJO MODELO ASTON GRAY ESMALTADO MARCA INERCERAMIC DE 31X61X1 CM O SIMILAR EN CARACTERÍSTICAS, PEGADO CON PEGAZULEJO MARCA CREST BLANCO, JUNTEADO CON LECHADA DE CEMENTO BLANCO CON JUNTA MAXIMA DE 1MM. INCLUYE: SUMINISTRO  Y ACARRERO DE MATERIALES, MANO DE OBRA, HERRAMIENTA, EQUIPO DE SEGURIDAD Y LIEMPIEZA DEL ESPACIO.</t>
  </si>
  <si>
    <t xml:space="preserve">AZULEJO MODELO ASTON GRAY INTERCERAMIC DE 31X61 CM </t>
  </si>
  <si>
    <t>PEGAZULEJO CREST BLANCO</t>
  </si>
  <si>
    <t>CODCU-002</t>
  </si>
  <si>
    <t>CODO Cu 13mm x 45°</t>
  </si>
  <si>
    <t>CODO Cu 13mm x 90°</t>
  </si>
  <si>
    <t>TEE Cu 13mm</t>
  </si>
  <si>
    <t>Codo Cu 13 mm x 45°</t>
  </si>
  <si>
    <t>Instalación de salida hidráulica para lavabo modelo Bilbao marca Interceramic considerando tuberías y conexiones de cobre de 13 mm marca nacobre. Incluye: preparación y soldadura de las conexiones, cortes de tuberías, limpieza, suministros de materiales, mano de obra, herramienta, equipo de seguridad, retiro de desperdicios a zona de acopio</t>
  </si>
  <si>
    <t>INSTALACION DE SALIDA HIDRAULICA PARA WC MODELO ANKARA MARCA INTERCERAMIC CONSIDERANDO TUBERIAS Y CONEXIONES DE 13MM MARCA NACOBRE. INCLUYE: PREPARACIÓN Y SOLDADURA DE LAS CONEXIONES, CORTES DE TUBERÍAS, LIMPIEZA, SUMINISTRO DE MATERILAES, MANO DE OBRA, HERRAMIENTA, EQUIPO Y RETIRO DE DESPERDICIOS A ZONA DE ACOPIO.</t>
  </si>
  <si>
    <t>I-HID-003</t>
  </si>
  <si>
    <t>INSTALACIÓN DE SALIDA HIDRAÚLICA PARA FREGADERO DE COCINA MODELO AKARA MARCA INTERCERAMIC CONSIDERANDO TUBERIAS Y CONEXIONES DE 13MM MARCA NACOBRE. INCLUYE: PREPARACIÓN Y SOLDADURA DE LAS CONEXIONES, CORTES DE TUBERÍAS, LIMPIEZA, SUMINISTRO DE MATERILAES, MANO DE OBRA, HERRAMIENTA, EQUIPO Y RETIRO DE DESPERDICIOS A ZONA DE ACOPIO.</t>
  </si>
  <si>
    <t>I-HID-004</t>
  </si>
  <si>
    <t>INSTALACIÓN DE SALIDA HIDRAÚLICA PARA TARJA DE MEDIDAS DE 40X51CM CONSIDERANDO TUBERIAS Y CONEXIONES DE 13MM MARCA NACOBRE. INCLUYE: PREPARACIÓN Y SOLDADURA DE LAS CONEXIONES, CORTES DE TUBERÍAS, LIMPIEZA, SUMINISTRO DE MATERILAES, MANO DE OBRA, HERRAMIENTA, EQUIPO Y RETIRO DE DESPERDICIOS A ZONA DE ACOPIO.</t>
  </si>
  <si>
    <t>I-HID-005</t>
  </si>
  <si>
    <t>INSTALACIÓN DE SALIDA HIDRAÚLICA PARA LAVADORA CONSIDERANDO TUBERIAS Y CONEXIONES DE 13MM MARCA NACOBRE. INCLUYE: PREPARACIÓN Y SOLDADURA DE LAS CONEXIONES, CORTES DE TUBERÍAS, LIMPIEZA, SUMINISTRO DE MATERILAES, MANO DE OBRA, HERRAMIENTA, EQUIPO Y RETIRO DE DESPERDICIOS A ZONA DE ACOPIO.</t>
  </si>
  <si>
    <t>Codo Cu 13mm de 3 salidas</t>
  </si>
  <si>
    <t>CODCU-003</t>
  </si>
  <si>
    <t>Codo Cu 13 mm de 3 salidas</t>
  </si>
  <si>
    <t>INSTALACIÓN DE SALIDA SANITARIA PARA LAVABO CONSIDERANDO TUBERÍA Y CONEXIONES DE PVC DE 2". INCLUYE: PREPARACIÓN DEL ÁREA DE TRABAJO, PREPARACIÓN Y ADHESIÓN DE LAS CONEXIONES, CORTES DE TUBERÍA, LIMPIEZA, SUMINISTRO DE MATERIALES, MANO DE OBRA, HERRAMIENTA, EQUIPO DE SEGURIDAD, RETIRO DE LOS DESPERDICIOS DE LOS MATERIALES A LA ZONA DE ACOPIO.</t>
  </si>
  <si>
    <t>INSTALACIÓN DE SALIDA SANITARIA PARA WC CONSIDERANDO TUBERÍA Y CONEXIONES DE PVC DE 4". INCLUYE: PREPARACIÓN DEL ÁREA DE TRABAJO, PREPARACIÓN Y ADHESIÓN DE LAS CONEXIONES, CORTES DE TUBERÍA, LIMPIEZA, SUMINISTRO DE MATERIALES, MANO DE OBRA, HERRAMIENTA, EQUIPO DE SEGURIDAD, RETIRO DE LOS DESPERDICIOS DE LOS MATERIALES A LA ZONA DE ACOPIO.</t>
  </si>
  <si>
    <t>INSTALACIÓN DE SALIDA SANITARIA PARA FREGADERO CONSIDERANDO TUBERÍA Y CONEXIONES DE PVC DE 2". INCLUYE: PREPARACIÓN DEL ÁREA DE TRABAJO, PREPARACIÓN Y ADHESIÓN DE LAS CONEXIONES, CORTES DE TUBERÍA, LIMPIEZA, SUMINISTRO DE MATERIALES, MANO DE OBRA, HERRAMIENTA, EQUIPO DE SEGURIDAD, RETIRO DE LOS DESPERDICIOS DE LOS MATERIALES A LA ZONA DE ACOPIO.</t>
  </si>
  <si>
    <t>INSTALACIÓN DE SALIDA SANITARIA PARA TARJA CONSIDERANDO TUBERÍA Y CONEXIONES DE PVC DE 2". INCLUYE: PREPARACIÓN DEL ÁREA DE TRABAJO, PREPARACIÓN Y ADHESIÓN DE LAS CONEXIONES, CORTES DE TUBERÍA, LIMPIEZA, SUMINISTRO DE MATERIALES, MANO DE OBRA, HERRAMIENTA, EQUIPO DE SEGURIDAD, RETIRO DE LOS DESPERDICIOS DE LOS MATERIALES A LA ZONA DE ACOPIO.</t>
  </si>
  <si>
    <t>INSTALACIÓN DE SALIDA SANITARIA PARA LAVADORA CONSIDERANDO TUBERÍA Y CONEXIONES DE PVC DE 2". INCLUYE: PREPARACIÓN DEL ÁREA DE TRABAJO, PREPARACIÓN Y ADHESIÓN DE LAS CONEXIONES, CORTES DE TUBERÍA, LIMPIEZA, SUMINISTRO DE MATERIALES, MANO DE OBRA, HERRAMIENTA, EQUIPO DE SEGURIDAD, RETIRO DE LOS DESPERDICIOS DE LOS MATERIALES A LA ZONA DE ACOPIO.</t>
  </si>
  <si>
    <t>I-SAN-005</t>
  </si>
  <si>
    <t>I-SAN-004</t>
  </si>
  <si>
    <t>I-SAN-003</t>
  </si>
  <si>
    <t>TEE 4" a 2"</t>
  </si>
  <si>
    <t>INSTALACIÓN DE SALIDA SANITARIA PARA REGADERA CONSIDERANDO TUBERÍA Y CONEXIONES DE PVC DE 4". INCLUYE: PREPARACIÓN DEL ÁREA DE TRABAJO, PREPARACIÓN Y ADHESIÓN DE LAS CONEXIONES, CORTES DE TUBERÍA, LIMPIEZA, SUMINISTRO DE MATERIALES, MANO DE OBRA, HERRAMIENTA, EQUIPO DE SEGURIDAD, RETIRO DE LOS DESPERDICIOS DE LOS MATERIALES A LA ZONA DE ACOPIO.</t>
  </si>
  <si>
    <t>I-SAN-006</t>
  </si>
  <si>
    <t>PRECIOS QUE NO HA REVISADO ANGIE</t>
  </si>
  <si>
    <t>PRECIOS UNITARIOS HECHOS</t>
  </si>
  <si>
    <t>Excavación en cepas por medios manuales de 0.00 a -2.00 m de profundidad, en material tipo I (100% tierra). Incluye: afine de cepas,mano de obra, herrameinta y equipo.</t>
  </si>
  <si>
    <t>R</t>
  </si>
  <si>
    <t>PRECIOS UNITARIOS REPETIDOS</t>
  </si>
  <si>
    <t>Fabricacion de plantilla de concreto F'C= 100 kg/cm2 de 5cm de espesor con agregado máximo de 19mm (3/4") y revenimiento de 8 a 10cm. Incluye: acarreo del material al lugar del trabajo, faricación del concreto, materiales, mano de obra, herramientas, equipo de seguridad, limpieza y desperdicios.</t>
  </si>
  <si>
    <t xml:space="preserve">Fabricación de losa plana en estructura de 10 cm de peralte reforzada con acero de 3/8" en ambos sentidos a/c 20 cm del no.3, concreto F'C = 200 kg/cm2, agregado máximo 3/4"(19mm) con revenimiento de 8 a 10cm y cimbra aparente Incluye: suministro de materiales, mano de obra, herramienta, equipo de seguridad. </t>
  </si>
  <si>
    <t>Suministro y colocación de loseta de barro recocido de 30x30X1.5 cm, asentado a base de mortero cemento-arena prop: 1:5, junteado con cemento blanco con junta de 1cm. Incluye: suministro y acarreo de materiales, mano de obra, herrameinta, equipo, limpieza de la zona de trabajo.</t>
  </si>
  <si>
    <t>Suministro y apliación de pintura vinílica Comex, modelo Vinimex, color Balance a dos manos sobre muros interiores y exteriores. Incluye: preparación y limpieza de la superficie, suministro y acarreo del material a la zona de trabajo, colocación de hule de protección, una mano de sellador 5:1, dos manos de pintura,fletes, acarreos, elevaciones, andamios herramientas, mano de obra, equipo.</t>
  </si>
  <si>
    <t>Suministro y apliación de pintura vinílica Comex, modelo Vinimex, color Garepa a dos manos sobre plafón. Incluye: preparación y limpieza de la superficie, suministro y acarreo del material a la zona de trabajo, colocación de hule de protección, una mano de sellador 5:1, dos manos de pintura, herramientas, mano de obra, equipo.</t>
  </si>
  <si>
    <t>Instalación de salida hidraulica de tarja de medidas de 0.40 x 0.51 m considerando tubería y conexiones de cobre de 13mm marca nacobre. Incluye: preparación y soldadura de las conexiones, cortes de tuberías, limpieza, suministro de materiales, mano de obra, herramienta, equipo y retiro de desperdicios a zona de acopio.</t>
  </si>
  <si>
    <t>Instalación de salida hidrahulica de lavadora considerando tubería y conexiones de cobre de 13mm marca nacobre. Incluye: preparación y soldadura de las conexiones, cortes de tuberías, limpieza, suministro de materiales, mano de obra, herramienta, equipo y retiro de desperdicios a zona de acopio.</t>
  </si>
  <si>
    <t>ELEC-007</t>
  </si>
  <si>
    <t>Suministro y colocación de tablero de distribucion Q-4. Incluye: 2 interruptores termomagnéticos de X15A, 2 interruptuores termomagnéticos de 1X20A. Materiales, mano de obra, equipo de seguridad, herramientas, retiro de los desperdicios de materiales.</t>
  </si>
  <si>
    <t>ELEC-008</t>
  </si>
  <si>
    <t>ELEC-009</t>
  </si>
  <si>
    <t xml:space="preserve">Suministro e instalación de cable de cobre forrado marca condulac con 2 conductores Cal. No. 10 Y 1 conductor de cobre desnudo para tierra fisica calibre No. 14. Incluye: Materiales, mano de obra, equipo de seguridad, herramientas, retiro de los materiales. </t>
  </si>
  <si>
    <r>
      <rPr>
        <sz val="11"/>
        <color rgb="FF0070C0"/>
        <rFont val="Calibri"/>
        <family val="2"/>
      </rPr>
      <t>SUBPARTIDA:</t>
    </r>
    <r>
      <rPr>
        <sz val="11"/>
        <color indexed="8"/>
        <rFont val="Calibri"/>
        <family val="2"/>
      </rPr>
      <t xml:space="preserve"> INSTALACIÓN DE GAS</t>
    </r>
  </si>
  <si>
    <t xml:space="preserve">salida </t>
  </si>
  <si>
    <t>Suministro y colocación de puerta de 2.10 x 1 m hecha a base de aluminio blanco de 2" con duelas lisas de 10cm. Incluye: tablero de herrería para puerta, bisagras, cerrojo y manija, materiales, herramienta, mano de obra y equipo.</t>
  </si>
  <si>
    <t>Suministro y colocación de portón de 3.02 x 2.10 m hecha a base de aluminio blanco de 2" con duelas lisas de 10cm. Incluye: tablero de herrería para puerta, bisagras, cerrojo y manija, materiales, herramienta, mano de obra y equipo.</t>
  </si>
  <si>
    <t>Suministro y colocación de chambrana metálica para interior (baños y recámaras) de 2.10 x 0.90m. Espesor de 2" Incluye: material de fijación, materiales, herramienta, mano de obra y equipo</t>
  </si>
  <si>
    <t>Suministro y colocación de chambrana metálica para exterior (acceso) de 2.10 x 1.00m. 2" de espesor Incluye: material de fijación, materiales, herramienta, mano de obra y equipo</t>
  </si>
  <si>
    <t>Suministro y colocación de puerta de aluminio natural de 2" con vidrio de 6mm natural, medidas de 2.10 x 0.90m. Incluye: cerraduras, tornillos, bisagras y chapa marca Phillips modelo k435, mateirales, herramietna, mano de obra y equipo.</t>
  </si>
  <si>
    <t>Suministro y colocación de ventana de aluminio natural de 2" con vidrio de 4mm natural, medidas de 1.20 x 1.50m. Incluye: cerraduras, tornillos, bisagras y chapa marca Phillips modelo k435, mateirales, herramietna, mano de obra y equipo.</t>
  </si>
  <si>
    <t>Suministro y colocación de ventana de aluminio natural de 2" con vidrio de 4mm natural, medidas de 0.70 x 0.70m. Incluye: cerraduras, tornillos, bisagras y chapa marca Phillips modelo k435, mateirales, herramietna, mano de obra y equipo.</t>
  </si>
  <si>
    <t>Suministro y colocación de ventana de aluminio natural de 2" con vidrio de 6mm natural, medidas de 2.10 x 2.50m. Incluye: cerraduras, tornillos, bisagras y chapa marca Phillips modelo k435, mateirales, herramietna, mano de obra y equipo.</t>
  </si>
  <si>
    <t>Suministro y colocación de ventana de aluminio natural de 2" con vidrio de 4mm natural, medidas de 1.20 x 0.85m. Incluye: cerraduras, tornillos, bisagras y chapa marca Phillips modelo k435, mateirales, herramietna, mano de obra y equipo.</t>
  </si>
  <si>
    <r>
      <rPr>
        <sz val="11"/>
        <color rgb="FF0070C0"/>
        <rFont val="Calibri"/>
        <family val="2"/>
      </rPr>
      <t>SUBPARTIDA:</t>
    </r>
    <r>
      <rPr>
        <sz val="11"/>
        <color indexed="8"/>
        <rFont val="Calibri"/>
        <family val="2"/>
      </rPr>
      <t xml:space="preserve"> COLOCACIÓN DE MUEBLES </t>
    </r>
  </si>
  <si>
    <t>Suministro y colocación de inodoro de tanque marca american estandar color blanco de cerámica porcelanizada de alto brillo, consumo de 4.8 L modelo: maintream flowise, con asiento redondo clor blanco, manguera flexible coflex y llave de constrol de paso hidraulico. Incluye: Suministro de materiales, mano de obra, herramienta, equipo de seguridad y material de fijación.</t>
  </si>
  <si>
    <t>MUEB-SAN-002</t>
  </si>
  <si>
    <t>Suministro y colocación de lavabo de cerámica blanco opaco línea benedeni Associati Modelo 661 medidas 52.1X17hX44.5 cm. Incluye: Mezcladora. Manijas, Suministro de materiales, mano de obra, herramienta, equipo de seguridad y material de fijación.</t>
  </si>
  <si>
    <t>MUEB-SAN-003</t>
  </si>
  <si>
    <t>MUEB-SAN-004</t>
  </si>
  <si>
    <t>Suministro y colocación de calentador semi-automático de 40L. Incluye: Valvula de alivio de 13mm, conexiones, herramientas, mano de obra y equipo de seguridad</t>
  </si>
  <si>
    <r>
      <rPr>
        <sz val="11"/>
        <color rgb="FF0070C0"/>
        <rFont val="Calibri"/>
        <family val="2"/>
      </rPr>
      <t>SUBPARTIDA:</t>
    </r>
    <r>
      <rPr>
        <sz val="11"/>
        <color indexed="8"/>
        <rFont val="Calibri"/>
        <family val="2"/>
      </rPr>
      <t xml:space="preserve"> JARDINERÍA</t>
    </r>
  </si>
  <si>
    <t>JAR-001</t>
  </si>
  <si>
    <t xml:space="preserve">Suministro y sembrado de palmera Phoenix Canariensis. Incluye: Excavación, alineado, relleno con tierra vegetal, acarreos, materiales, herramienta, equipo y retiro de sobrantes fuera de la obra. </t>
  </si>
  <si>
    <t>JAR-002</t>
  </si>
  <si>
    <t>Suministro, siembra y mantenimiento durante 30 días de pasto alfombra en rollo. Inlcuye: materiales, mano de obra, herramientas, equipo de seguridad.</t>
  </si>
  <si>
    <t xml:space="preserve">Fabricación de losa plana en estructura de 10 cm de peralte reforzada con acero de 3/8" en ambos sentidos a/c 20 cm, concreto F'C = 200 kg/cm2, agregado máximo 3/4"(19mm) con revenimiento de 8 a 10cm y cimbra aparente. Incluye: suministro de materiales, mano de obra, herramienta, equipo de seguridad. </t>
  </si>
  <si>
    <t>Suministro y colocación de loseta de barro recocido de 30x30x1.5 cm, asentado a base de mortero cemento-arena prop: 1:5, junteado con cemento blanco con junta de 1cm. Incluye: suministro y acarreo de materiales, mano de obra, herrameinta, equipo, limpieza de la zona de trabajo.</t>
  </si>
  <si>
    <t>Suministro y colocación de ventana de aluminio natural de 2" con vidrio de 4mm natural, medidas de 1.20 x 1.50m. Incluye: cerraduras, tornillos, bisagras y chapa marca Phillips modelo k435, materiales, herramietna, mano de obra y equipo.</t>
  </si>
  <si>
    <t>Suministro y colocación de ventana de aluminio natural de 2" con vidrio de 4mm natural, medidas de 0.70 x 0.70m. Incluye: cerraduras, tornillos, bisagras y chapa marca Phillips modelo k435, materiales, herramietna, mano de obra y equipo.</t>
  </si>
  <si>
    <t>Suministro y colocación de puerta de aluminio natural de 2" con vidrio de 4mm natural, medidas de 0.50 x 1.20m. Incluye: cerraduras, tornillos, bisagras y chapa marca Phillips modelo k435, materiales, herramietna, mano de obra y equipo.</t>
  </si>
  <si>
    <t>Suministro y colocación de ventana de aluminio natural de 2" con vidrio de 6mm natural, medidas de 1.00 x 1.20m. Incluye: cerraduras, tornillos, bisagras y chapa marca Phillips modelo k435, materiales, herramietna, mano de obra y equipo.</t>
  </si>
  <si>
    <t>Suministro y colocación de ventana de aluminio natural de 2" con vidrio de 4mm natural, medidas de 2.10 x 2.60m. Incluye: cerraduras, tornillos, bisagras y chapa marca Phillips modelo 435, materiales, herramietna, mano de obra y equipo.</t>
  </si>
  <si>
    <t>MUEB-SAN-005</t>
  </si>
  <si>
    <t>Suministro y colocación de regadera de chorro fijo linea helvex modelo h-3002 de 8" color aluminio y monomando para ducha linea helvex modelo e-712 clor aluminio. Incluye: Suministro de materiales, mano de obra, herramienta, equipo de seguridad y material de fijación.</t>
  </si>
  <si>
    <t>Fabricación de losa a base de vigueta y bovedilla de alma ambierta con un peralte terminado de 0.20 m, con una capa de compresión de 5cm de espesor de concreto F'c=250 kg/cm2 revenimiento de 8 a 10cm y agregado máximo de 3/4" (19mm), malla electrosoldada de refuerzo de 6x6-10/10. Incluye: andamios, nervios de temperatura con 2 varillas del no.2 a cada 20cm, materiales herramientas, mano de obra, elaboración de concreto con revolvedora, cimra, descimbra, vaciado, vibrado y curado de concreto.</t>
  </si>
  <si>
    <t>Suministro y apliación de impermeabilizante blanco marca Imperquimia modelo Elastón 5 All Terrain aplicado a dos manos en losa de azotea. Incluye: materiales, mano de obra, herramienta y euqipo.</t>
  </si>
  <si>
    <r>
      <rPr>
        <sz val="11"/>
        <color rgb="FF0070C0"/>
        <rFont val="Calibri"/>
        <family val="2"/>
      </rPr>
      <t>SUBPARTIDA:</t>
    </r>
    <r>
      <rPr>
        <sz val="11"/>
        <color indexed="8"/>
        <rFont val="Calibri"/>
        <family val="2"/>
      </rPr>
      <t xml:space="preserve"> INSTALACIONES HIDRAÚLICAS</t>
    </r>
  </si>
  <si>
    <r>
      <rPr>
        <sz val="11"/>
        <color rgb="FF0070C0"/>
        <rFont val="Calibri"/>
        <family val="2"/>
      </rPr>
      <t>SUBPARTIDA:</t>
    </r>
    <r>
      <rPr>
        <sz val="11"/>
        <color indexed="8"/>
        <rFont val="Calibri"/>
        <family val="2"/>
      </rPr>
      <t xml:space="preserve"> INSTALACIONES SANITARIAS</t>
    </r>
  </si>
  <si>
    <t xml:space="preserve">Instalación de salida sanitaria para lavabo considerando tubería y conexiones de PVC de 2". Incluye: Preparación del área de trabajo, preparación y adhesión de las conexiones, cortes de tubería, limpieza, suministro de materiales, mano de obra, herramientas y equipo de seguridad. </t>
  </si>
  <si>
    <t xml:space="preserve">Instalación de salida sanitaria para wc considerando tubería y conexiones de PVC de 4". Incluye: Preparación del área de trabajo, preparación y adhesión de las conexiones, cortes de tubería, limpieza, suministro de materiales, mano de obra, herramientas y equipo de seguridad. </t>
  </si>
  <si>
    <t xml:space="preserve">Instalación de salida sanitaria para fregadero considerando tubería y conexiones de PVC de 2". Incluye: Preparación del área de trabajo, preparación y adhesión de las conexiones, cortes de tubería, limpieza, suministro de materiales, mano de obra, herramientas y equipo de seguridad. </t>
  </si>
  <si>
    <t xml:space="preserve">Instalación de salida sanitaria para tarja considerando tubería y conexiones de PVC de 2". Incluye: Preparación del área de trabajo, preparación y adhesión de las conexiones, cortes de tubería, limpieza, suministro de materiales, mano de obra, herramientas y equipo de seguridad. </t>
  </si>
  <si>
    <t xml:space="preserve">Instalación de salida sanitaria para lavadora considerando tubería y conexiones de PVC de 2". Incluye: Preparación del área de trabajo, preparación y adhesión de las conexiones, cortes de tubería, limpieza, suministro de materiales, mano de obra, herramientas y equipo de seguridad. </t>
  </si>
  <si>
    <t>I-HID-006</t>
  </si>
  <si>
    <t>ALB-006</t>
  </si>
  <si>
    <t>Elaboración de cerramiento de sección 15x20 fabricada con concreto F'C= 200 kg/cm2, armada con acero del #4 (1/2") y estribos del #4  @15cm. Incluye: suministro de materiales, habilitado, armado, amarres, cimbrado, vaciado de concreeto, vibrado, curado, herramientas y equipo de seguridad</t>
  </si>
  <si>
    <t>Elaboración de castillo de sección 15x20 fabricado con ARMEX 15x20x4. Incluye: suministro de materiales, habilitado, armado, amarres, cimbrado, vaciado de concreeto, vibrado, curado, herramientas y equipo de seguridad</t>
  </si>
  <si>
    <t>Elaboración de castillo de sección 15x20 fabricado con ARMEX 15x20x4 y 4 varillas de acero de refuerzo del #3 (3/8"). Incluye: suministro de materiales, habilitado, armado, amarres, cimbrado, vaciado de concreeto, vibrado, curado, herramientas y equipo de seguridad</t>
  </si>
  <si>
    <t>CIM-006</t>
  </si>
  <si>
    <t>CIM-007</t>
  </si>
  <si>
    <t>Fabricación de mamposteria colindante medidas 80cm de desplante, 30 cm corona y 80 cm de altura. Incluye: acarreo del material al lugar del trabajo, faricación del concreto, materiales, mano de obra, herramientas, equipo de seguridad, limpieza y desperdicios.</t>
  </si>
  <si>
    <t>Fabricación de mamposteria interior medidas 80cm de desplante, 30 cm corona y 80 cm de altura. Incluye: acarreo del material al lugar del trabajo, faricación del concreto, materiales, mano de obra, herramientas, equipo de seguridad, limpieza y desperdicios.</t>
  </si>
  <si>
    <t>PRECIOS QUE FALTAN HACER</t>
  </si>
  <si>
    <t>CIM-008</t>
  </si>
  <si>
    <t>CIM-009</t>
  </si>
  <si>
    <t>CIM-010</t>
  </si>
  <si>
    <t>Fabricacion de registro 40x40x100cm de tabique rojo recocido asentado con mortero cemento-arena 1:5. Incluye: aplanado, plantilla, tapa de concreto F'C= 100 kg/cm2, materiales, mano de obra, herramientas, acarreo de materiales  y equipo de seguridad.</t>
  </si>
  <si>
    <t>Fabricacion de registro oculto 40x40x100cm de tabique rojo recocido asentado con mortero cemento-arena 1:5. Incluye: aplanado, plantilla, materiales, mano de obra, herramientas, acarreo de materiales  y equipo de seguridad.</t>
  </si>
  <si>
    <t>Fabricación de cisterna de 2x2x2 m de tabique rojo recocido, asentado con mortero cemento-arena 1:5 acabado pulido de mortero cemento-arena 1:3. Incluye: materiales, mano de obra, herramientas, acarreo de materiales y equipo de seguridad.</t>
  </si>
  <si>
    <t>I-HID-007</t>
  </si>
  <si>
    <t>Instalación de salida hidráulica para tinaco rotoplas de 2,500L  considerando tuberías y conexiones de cobre de 13 mm marca nacobre. Incluye: preparación y soldadura de las conexiones, cortes de tuberías, limpieza, suministros de materiales, mano de obra, herramienta, equipo de seguridad, retiro de desperdicios a zona de acopio.</t>
  </si>
  <si>
    <t>MUEB-SAN-006</t>
  </si>
  <si>
    <t>MUEB-SAN-007</t>
  </si>
  <si>
    <t>Suministro y colocación de tinaco rotoplas de 2,500L. Incluye: Suministro de materiales, mano de obra, herramienta, equipo de seguridad y material de fijación.</t>
  </si>
  <si>
    <t>Suministro y colocación de calentador solar de 150L marca Novosol. Incluye: Suministro de materiales, mano de obra, herramienta, equipo de seguridad y material de fijación.</t>
  </si>
  <si>
    <t>I-HID-008</t>
  </si>
  <si>
    <t>Instalación de salida hidráulica para calentador solar marca Novosol de 150L  considerando tuberías y conexiones de cobre de 13 mm marca nacobre. Incluye: preparación y soldadura de las conexiones, cortes de tuberías, limpieza, suministros de materiales, mano de obra, herramienta, equipo de seguridad, retiro de desperdicios a zona de acopio.</t>
  </si>
  <si>
    <t>PRECIOS QUE NOS INDICO ANGIE Y NO SABEMOS HACER</t>
  </si>
  <si>
    <t>Fabricación de cadena de desplante de concreto F'C= 250 KG/CM2 con agregado maximo de 19mm, sección de 15x20cm, acabado comun, armado con 6 varillas del #3 y estribos del #2 @15cm. Incluye: suministro, fabricacion de concreto, desperdicios, cimbrado, colado, vibrado, descimbrado, acarreo, mano de obra, herramienta, equipo</t>
  </si>
  <si>
    <t>Fabricación de dala de cimentación de concreto F'C= 250 KG/CM2 con agregado maximo de 19mm, sección de 15x20cm, acabado comun, armado con ARMEX 15x20x4. Incluye: suministro, fabricacion de concreto, desperdicios, cimbrado, colado, vibrado, descimbrado, acarreo, mano de obra, herramienta, equipo</t>
  </si>
  <si>
    <r>
      <t xml:space="preserve">SUBPARTIDA: </t>
    </r>
    <r>
      <rPr>
        <sz val="11"/>
        <color theme="1"/>
        <rFont val="Calibri"/>
        <family val="2"/>
      </rPr>
      <t>INSTALACIONES HIDRAULICAS</t>
    </r>
  </si>
  <si>
    <t>CIMBRA PARA TRABE DE SECCIÓN DE 15CM X 20CM X 1M</t>
  </si>
  <si>
    <t>Fabricación de dala de cimentación de concreto F'C= 250 KG/CM2 con agregado maximo de 19mm, sección de 15x20cm, acabado comun, armado con ARMEX 15x20x4. Incluye: suministro, fabricacion de concreto, desperdicios, cimbrado, colado, vibrado, descimbrado, acarreo, mano de obra, herramienta, equipo.</t>
  </si>
  <si>
    <r>
      <t>ELABORACIÓN DE CA</t>
    </r>
    <r>
      <rPr>
        <b/>
        <sz val="11"/>
        <color rgb="FF000000"/>
        <rFont val="Calibri"/>
        <family val="2"/>
      </rPr>
      <t>DENA DE DESPLANTE DE CONCRETO F'C=250 kg/cm2 CON AGREGADO MÁXIMO DE 19mm (3/4"), SECCIÓN DE 15 X 20cm, ACABADO COMÚN, ARMADO DE 6 VARILLAS DEL #3 Y ESTRIBOS DEL #2 @15cm. INCLUYE: SUMINISTRO DE MATERIALES, HABILITADO, ARMADO, AMARRES, CIMBRADO, VACIADO DE CONCRETO, VIBRADO, CURADO, HERRAMIENTA,Y EQUIPO DE SEGURIDAD.</t>
    </r>
    <r>
      <rPr>
        <b/>
        <sz val="11"/>
        <color indexed="8"/>
        <rFont val="Calibri"/>
        <family val="2"/>
      </rPr>
      <t xml:space="preserve">
</t>
    </r>
  </si>
  <si>
    <t>ACERO PARA ESTRIBOS DEL #4 (1/2")</t>
  </si>
  <si>
    <t>Elaboración de trabe de sección 25x25 fabricada con concreto F'C= 200 kg/cm2, armada con acero del #5 (5/8") y estribos del #5 @12 cm . Incluye: suministro de materiales, habilitado, armado, amarres, cimbrado, vaciado de concreeto, vibrado, curado, herramientas y equipo de seguridad.</t>
  </si>
  <si>
    <t>Elaboración de trabe de sección 25x25 fabricada con concreto F'C= 200 kg/cm2, armada con acero del #5 (5/8") y estribos del #5 @12 cm. Incluye: suministro de materiales, habilitado, armado, amarres, cimbrado, vaciado de concreeto, vibrado, curado, herramientas y equipo de seguridad.</t>
  </si>
  <si>
    <t>Elaboración de trabe de sección 25x20 fabricada con concreto F'C= 200 kg/cm2, armada con acero del #5 (5/8") y estribos del #3 @12 cm. Incluye: suministro de materiales, habilitado, armado, amarres, cimbrado, vaciado de concreeto, vibrado, curado, herramientas y equipo de seguridad</t>
  </si>
  <si>
    <t>CONCRETO F'C=200 kg/cm2</t>
  </si>
  <si>
    <t>ACE-004</t>
  </si>
  <si>
    <t>ACERO DE REFUERZO DEL No.5 (5/8")</t>
  </si>
  <si>
    <t>Varilla corrugada del #5</t>
  </si>
  <si>
    <t>CIMBR-004</t>
  </si>
  <si>
    <t>8 x 1" x 4" x 1.00m/3.657</t>
  </si>
  <si>
    <t>CIMBRA PARA TRABE DE SECCIÓN DE 25CM X 20CM X 1M</t>
  </si>
  <si>
    <t>CIMBRA PARA TRABE DE SECCIÓN DE 25CM X 25CM X 1M</t>
  </si>
  <si>
    <t>CIMBR-005</t>
  </si>
  <si>
    <t>CIMBRA DE MADERA DE PINO DE 3a PARA TRABE1 25X25 CM DE CONCRETO ARMADO</t>
  </si>
  <si>
    <t>CIMBRA DE MADERA DE PINO DE 3a PARA CADENA DE DESPLANTE 15X20 CM DE CONCRETO ARMADO</t>
  </si>
  <si>
    <t>CIMBRA DE MADERA DE PINO DE 3a PARA TRABE 25X52 CM PLANA DE CONCRETO ARMADO</t>
  </si>
  <si>
    <t>7 x 1" x 4" x 1.00m/3.657</t>
  </si>
  <si>
    <t>CIMBRA DE MADERA DE PINO DE 3a PARA TRABE1 25X20 CM DE CONCRETO ARMADO</t>
  </si>
  <si>
    <t xml:space="preserve">ACERO DEL #5 (5/8") </t>
  </si>
  <si>
    <t>ACERO PARA ESTRIBOS DEL #5 (5/8")</t>
  </si>
  <si>
    <t>CIMBR-006</t>
  </si>
  <si>
    <t>CIMBRA DE MADERA DE PINO DE 3a PARA CASTILLO 15X20 CM DE CONCRETO ARMADO</t>
  </si>
  <si>
    <t>2 x 3.5" x 3.5" x 2.35m/3.657</t>
  </si>
  <si>
    <t>CIMBRA PARA CASTILLO DE SECCIÓN DE 15CM X 20CM X 1M</t>
  </si>
  <si>
    <t>ACERO DE REFUERZO DEL #3 (3/8")</t>
  </si>
  <si>
    <t>Suministro y colocación de lavabo blanco modelo Bilbao marca Interceramic . Incluye: Mezcladora, Manijas, Suministro de materiales, mano de obra, herramienta, equipo de seguridad y material de fijación.</t>
  </si>
  <si>
    <t>MEZ-001</t>
  </si>
  <si>
    <t>Mezcladora para lavabo de 4" cromo Glacier Bay</t>
  </si>
  <si>
    <t>Pijas y taquetes para lavabo</t>
  </si>
  <si>
    <t>LAVABO MODELO BILBAO PARA INTERCERAMIC</t>
  </si>
  <si>
    <t>CESPOL PARA LAVABO DE LATON CROMADO MARCA URREA</t>
  </si>
  <si>
    <t>MEZCLADORA PARA LAVABO</t>
  </si>
  <si>
    <t>PIJAS Y TQUETE PARA LAVABO</t>
  </si>
  <si>
    <t>LLAV-001</t>
  </si>
  <si>
    <t>LAV-003</t>
  </si>
  <si>
    <t>Suministro y colocación de lavatrastes doble 84 x 56 cm marca EB. Llave extraible monomando linea dexa modelo acqua color luminio. Incluye: Suministro de materiales, mano de obra, herramienta, equipo de seguridad y material de fijación.</t>
  </si>
  <si>
    <t>Suministro y colocación de lavatrastes doble 84 x 56 cm marca EB. Llave monomando acabado cromado marca Helvex. Incluye: Suministro de materiales, mano de obra, herramienta, equipo de seguridad y material de fijación.</t>
  </si>
  <si>
    <t>Lavatrastes doble de 84 x56 cm maraca EB</t>
  </si>
  <si>
    <t>LAVATRASTES 84 X 56 CM MARCA EB</t>
  </si>
  <si>
    <t>MONOMANDO CROMADO MARACA HELVEX</t>
  </si>
  <si>
    <t>PIJA-004</t>
  </si>
  <si>
    <t>Calentador semi-automático de 40L</t>
  </si>
  <si>
    <t>VALV-002</t>
  </si>
  <si>
    <t>Valvula de alivio de 13mm marca URREA</t>
  </si>
  <si>
    <t xml:space="preserve">CALENTADOR SEMI-AUTOMÁTICO DE 40L </t>
  </si>
  <si>
    <t>VÁLVULA DE ALIVIO DE 13MM MARCA AURREA</t>
  </si>
  <si>
    <t>TEE-CU-001</t>
  </si>
  <si>
    <t>ALB-013</t>
  </si>
  <si>
    <t>ALB-014</t>
  </si>
  <si>
    <t>ALB-015</t>
  </si>
  <si>
    <t>ALB-016</t>
  </si>
  <si>
    <t>TEZONTLE PARA RELLENO</t>
  </si>
  <si>
    <t>MORTERO CEMENTO-CAL-ARENA 1:1:6</t>
  </si>
  <si>
    <t xml:space="preserve">Instalación de salida sanitaria para coladera considerando tubería y conexiones de PVC de 2". Incluye: Preparación del área de trabajo, preparación y adhesión de las conexiones, cortes de tubería, limpieza, suministro de materiales, mano de obra, herramientas y equipo de seguridad. </t>
  </si>
  <si>
    <t>I-SAN-007</t>
  </si>
  <si>
    <t>Instalación de salida sanitaria para coladera considerando tubería y conexiones de PVC de 2". Incluye: Preparación del área de trabajo, preparación y adhesión de las conexiones, cortes de tubería, limpieza, suministro de materiales, mano de obra, herramientas y equipo de seguridad.</t>
  </si>
  <si>
    <t>COLADERA DE 2"</t>
  </si>
  <si>
    <t>PISO LAMINADO DE MADERA DE 7MM MARCA TEKNO STEP MODELO CEREZO TABLA O SIMILAR</t>
  </si>
  <si>
    <t>ZOCLO PLANO DE 6CM MARCA TEKNO STEP O SIMILAR</t>
  </si>
  <si>
    <t>PISO-003</t>
  </si>
  <si>
    <t>PISO-004</t>
  </si>
  <si>
    <t>piso laminado de madera de 7mm teknostep modelo cerezo</t>
  </si>
  <si>
    <t>Zoclo plano de madera de 6cm teknostep modelo cerezo</t>
  </si>
  <si>
    <t>SUMINISTRO Y COLOCACION DE AZULEJO MODELO ASTON SAND ESMALTADO MARCA INERCERAMIC DE 31X61X1 CM O SIMILAR EN CARACTERÍSTICAS, PEGADO CON PEGAZULEJO MARCA CREST BLANCO, JUNTEADO CON LECHADA DE CEMENTO BLANCO CON JUNTA MAXIMA DE 1MM. INCLUYE: SUMINISTRO  Y ACARRERO DE MATERIALES, MANO DE OBRA, HERRAMIENTA, EQUIPO DE SEGURIDAD Y LIEMPIEZA DEL ESPACIO.</t>
  </si>
  <si>
    <t>Suministro y apliación de pintura de esmalte Comex, modelo Vinimex, color Garepa a dos manos sobre plafón. Incluye: preparación y limpieza de la superficie, suministro y acarreo del material a la zona de trabajo, colocación de hule de protección, una mano de sellador, dos manos de pintura, herramientas, mano de obra, equipo.</t>
  </si>
  <si>
    <t>Pegazulejo Crest Blanco</t>
  </si>
  <si>
    <t>PEGA-004</t>
  </si>
  <si>
    <t xml:space="preserve">CUADRILLA DE JARDINERÍA </t>
  </si>
  <si>
    <t>CUADRILLA DE JARDINERIA</t>
  </si>
  <si>
    <t>Pasto alfombra natural</t>
  </si>
  <si>
    <t>palmera phoenix canariensis</t>
  </si>
  <si>
    <t>PALMERA PHOENIX CANERIENSIS</t>
  </si>
  <si>
    <t>PASTO ALFOMBRA NATURAL</t>
  </si>
  <si>
    <t>Fabricación de muretes para base de tinaco con tabique rojo recocido asentado con mortero cemento cal arena 1:1:5, con acabado común. Incluye: cadena y castillo de concreto F'C = 150 kg/cm2, armado con armex, cimbra y descimbra, elevación de materiales, materiales, herrameinta, mano de obra y equipo.</t>
  </si>
  <si>
    <t>CONCRETO F'C=150 KG/CM2</t>
  </si>
  <si>
    <t>CUADR-011</t>
  </si>
  <si>
    <t>Cuadrilla de Jardinería</t>
  </si>
  <si>
    <t>Jardinero</t>
  </si>
  <si>
    <t>Cuadrilla de Yeseros</t>
  </si>
  <si>
    <t>Oficial yesero</t>
  </si>
  <si>
    <t>CUADRILLA DE YESEROS (1 OFICIAL + 1 AYUDANTE)</t>
  </si>
  <si>
    <t>CUADR-012</t>
  </si>
  <si>
    <t>CUADRILLA YESEROS (1 OFICIAL + 1 AYUDANTE)</t>
  </si>
  <si>
    <t xml:space="preserve">RELLENO EN CEPAS CON MATERIAL DE BANCO (TEPETATE) AL 90% PROCTOR COMPACTADO CON VIBROCOMPACTADOR MANUAL (BAILARINA), EN CAPAS DE 20 CM. INCLUYE: SUMINISTROS DE MATERIALES, MANO DE OBRA, HERRAMIENTA Y EQUIPO. </t>
  </si>
  <si>
    <t>PRE-006</t>
  </si>
  <si>
    <t>TEPETATE</t>
  </si>
  <si>
    <t>Tepetate</t>
  </si>
  <si>
    <t>TEP-007</t>
  </si>
  <si>
    <t>TEP-001</t>
  </si>
  <si>
    <t>AGUA-001</t>
  </si>
  <si>
    <t>CUADRILLA  (1 AYUDANTE)</t>
  </si>
  <si>
    <t>PIED-001</t>
  </si>
  <si>
    <t>Piedra Braza</t>
  </si>
  <si>
    <t>Pied-001</t>
  </si>
  <si>
    <t>Piedra de mampostería</t>
  </si>
  <si>
    <t>MORTERO CEMENTO CAL ARENA 1:1:6</t>
  </si>
  <si>
    <t>Fabricación de cimentación de mampostería DE PIEDRA BRAZA CON MORTERO PROPORCIÓN 1:1.6, INCLUYE: HERRAMIENTA, EQUIPO, MANO DE OBRA, MATERIALES, Y ACARREO.</t>
  </si>
  <si>
    <t>Colocación de repellado de mortero cemento arena proporción 1:4 en muros interiores y exteriores acabado a talocha, espesor 1.5 cm. Incluye: suministro de materiales, mano de obra, herrameinta, equpo de seguridad, limpieza, acarreo de materiales.</t>
  </si>
  <si>
    <t>AND-002</t>
  </si>
  <si>
    <t>ANDAMIO DE 2.00M DE ALTURA</t>
  </si>
  <si>
    <t>ELEC-010</t>
  </si>
  <si>
    <t>ELEC-011</t>
  </si>
  <si>
    <t>Suministro e instalación eléctrica de salida para contacto duplex polarizado o duplex con falla tierra de 15A-127V, color blanco con tapa marca leviton, considerando un desarrollo promedio de 4.00 m. Incluye: tapas, herrajes, contacto, placas, ranuras, canalización con poliducto de 19mm, cajas galvanizadas, cable de cobre cal.12 THWLS, cable de cobre desnudo cal.14 AWG CONDULAC, material, mano de obra, herramienta y equipo.</t>
  </si>
  <si>
    <t>Suministro e instalación eléctrica de salida para apagador de 1, 2 o 3 vías o de escalera color blanco con tapa marca Leviton, considerando un desarrollo promedio de 4.00m. Incluye: tapas, herrajes, contacto, placas, ranuras, canalización con poliducto de 19mm, cajas galvanizadas, cable de cobre cal.12 THWLS, cable de cobre desnudo cal.14 AWG CONDULAC, material, mano de obra, herramienta y equipo.</t>
  </si>
  <si>
    <t xml:space="preserve">Suministro e instalación de salida eléctrica para televisión. Incluye: tapas marca Leviton tendido de poliducto de 3/4, con cajas galvanizadas, accesorios, cable de cobre calibre 12, ranurado en muro, conexión a interfon, mano de obra, herramienta, equipo de seguridad y limpieza  </t>
  </si>
  <si>
    <t xml:space="preserve">Suministro e instalación de salida eléctrica para teléfono. Incluye: tapas marca Leviton tendido de poliducto de 3/4, con cajas galvanizadas, accesorios, cable de cobre calibre 12, ranurado en muro, conexión a interfon, mano de obra, herramienta, equipo de seguridad y limpieza  </t>
  </si>
  <si>
    <t>ELEC-012</t>
  </si>
  <si>
    <t>ELEC-013</t>
  </si>
  <si>
    <t>ELEC-014</t>
  </si>
  <si>
    <t>Suministro e instalación eléctrica de acometida subterránea con poliducto de 19mm, cable cal. 10 THW e interruptores termomagnéticos de 30A. Incluye: base para medidor, centro de cargas, materiales, herramientas, mano de obra y equipo.</t>
  </si>
  <si>
    <t xml:space="preserve">Suministro e instalación de salida eléctrica para bomba sumergible de 1/4 HP. Incluye interruptor, conexiones, cable calibre 10 marca condulac, poliducto de 1", materia, mano de obra, herramienta y equipo de seguridad </t>
  </si>
  <si>
    <t>Suministro e instalación de salida eléctrica para interfon. Incluye: tapas marca Leviton tendido de poliducto de 3/4, con cajas galvanizadas, accesorios, cable de cobre calibre 12, ranurado en muro, conexión a interfon, mano de obra, herramienta, equipo de seguridad y limpieza</t>
  </si>
  <si>
    <t>Suministro e instalación de salida eléctrica para luminarias tipo spot. Incluye: spots Tecnolite modelo YD-1500EP7B Nova, tendido de poliducto de 19mm, cajas galvanizadas, accesorios, cable de cobre cal.14, cable de cobre desnudo de 3.00m, ranurado de piso, plafón o muro, materiales, herramienta, mano de obra y equipo.</t>
  </si>
  <si>
    <t>Suministro e instalación de salida eléctrica para luminarias tipo arbotante. Incluye: arbotantes Tecnolite modelo H-815/B Turin II , tendido de poliducto de 19mm, cajas galvanizadas, accesorios, cable de cobre cal.14, cable de cobre desnudo de 3.00m, ranurado de piso, plafón o muro, materiales, herramienta, mano de obra y equipo.</t>
  </si>
  <si>
    <t>Suministro e instalación de salida eléctrica para luminarias tipo reflectores de piso. Incluye: reflectores Tecnolite modelo H-615/N Cuenca, tendido de poliducto de 19mm, cajas galvanizadas, accesorios, cable de cobre cal.14, cable de cobre desnudo de 3.00m, ranurado de piso, plafón o muro, materiales, herramienta, mano de obra y equipo.</t>
  </si>
  <si>
    <t>SP-001</t>
  </si>
  <si>
    <t>ARB-001</t>
  </si>
  <si>
    <t>REFL-001</t>
  </si>
  <si>
    <t>Spot Tecnolite modelo YD-1500EP/B Nove</t>
  </si>
  <si>
    <t>Arbotante Tecnolite modelo H-815/B Turin II</t>
  </si>
  <si>
    <t>Reflector de piso Tecnolite modelo H-615/N Cuenca</t>
  </si>
  <si>
    <t>Suministro y colocación de salida de gas para calentador a base de tubo de cobre tipo L de 13mm. Incluye: calentador de 190 L Rheem Performance 5 Servicios modelo: XG50T06ST25M, llave de paso, codo, coples, mano de obra, materiales, herramientas y equipo de seguridad.</t>
  </si>
  <si>
    <t>Calentador de 190 L Rheem Performance 5 Servicios</t>
  </si>
  <si>
    <t>CALEN-001</t>
  </si>
  <si>
    <t>ESTF-001</t>
  </si>
  <si>
    <t>Estufa empotrable de gas Whirlpool 30pies</t>
  </si>
  <si>
    <t>Suministro y colocación de salida de gas para estufa a base de tubo de cobre tipo L de 13mm. Incluye: Estufa empotrable de gas Whirlpool 30pies modelo: WER3000D, llave de paso, codo, coples, mano de obra, materiales, herramientas y equipo de seguridad.</t>
  </si>
  <si>
    <t>http://www.homedepot.com.mx/linea-blanca-y-cocinas/linea-blanca/estufas/estufa-empotrable-30-whirlpol-de-acero-inoxidable-136489</t>
  </si>
  <si>
    <t>http://www.homedepot.com.mx/plomeria/calentadores-de-agua/deposito/calentador-de-deposito-gas-natural-190l-50gal-performance-102983</t>
  </si>
  <si>
    <t>Suministro y colocación de tuberia conduit P.G.G. 19 mm. Incluye: Suministro de materiales, mano de obra, herramientas y equipo de seguridad</t>
  </si>
  <si>
    <t>DOSCIENTOS VEINTE  PESOS 68/100 M.N.</t>
  </si>
  <si>
    <t>CIENTO TREINTA Y TRES PESOS 43/100 M.N</t>
  </si>
  <si>
    <t>MIL CIENTO VEINTINUEVE PESOS 47/100 M.N.</t>
  </si>
  <si>
    <t>SEIS MIL SEISCIENTOS OCHENTA Y NUEVE PESOS 09/100 M.N.</t>
  </si>
  <si>
    <t>QUINIENTOS CUARENTA PESOS 51/100 M.N.</t>
  </si>
  <si>
    <t xml:space="preserve">OCHOCIENTOS CUARENTA Y TRES 60/100 M.N. </t>
  </si>
  <si>
    <t xml:space="preserve">TRESCIENTOS SEIS PESOS 94/100 M.N. </t>
  </si>
  <si>
    <t>CUATROCIENTOS TREINTA Y TRES PESOS 09/100 M.N.</t>
  </si>
  <si>
    <t xml:space="preserve">OCHENTA Y CUATRO PESOS 28/100 .N. </t>
  </si>
  <si>
    <t>CIENTO CUATRO PESOS 85/100 M.N.</t>
  </si>
  <si>
    <t xml:space="preserve">TRES MIL CIENTO TREINTA Y OCHO PESOS 48/100 M.N. </t>
  </si>
  <si>
    <t xml:space="preserve">SESENTA Y CINCO PESOS 24/100 M.N. </t>
  </si>
  <si>
    <t xml:space="preserve">TREINTA Y SEIS PESOS 39/100 M.N. </t>
  </si>
  <si>
    <t xml:space="preserve">TRES MIL OCHOCIENTOS SETENTA Y NUEVE PESOS 97/100 M.N. </t>
  </si>
  <si>
    <t xml:space="preserve">CIENTO TRES PESOS 23/100 M.N. </t>
  </si>
  <si>
    <t>NUEVE PESOS 24/100 M.N.</t>
  </si>
  <si>
    <t xml:space="preserve">DIECISIETE PESOS 26/100 M.N. </t>
  </si>
  <si>
    <t>TREINTA Y OCHO PESOS 44/100 M.N.</t>
  </si>
  <si>
    <t>DOSCIENTOS VEINTISEIS PESOS 62/100 M.N.</t>
  </si>
  <si>
    <t>DOSCIENTOS CUARENTA Y SEIS PESOS 48/100 M.N.</t>
  </si>
  <si>
    <t xml:space="preserve">DOS MIL SETENTA Y CINCO PESOS 09/100 M.N. </t>
  </si>
  <si>
    <t>SEISCIENTOS NOVENTA Y NUEVE PESOS 83/100 M.N.</t>
  </si>
  <si>
    <t>CUATROSCIENTOS VEINTE PESOS 25/100 M.N.</t>
  </si>
  <si>
    <t>TRESCIENTOS SESENTA Y TRES PESOS 06/100 M.N.</t>
  </si>
  <si>
    <t>DIECISIETE PESOS 26/100 M.N.</t>
  </si>
  <si>
    <t>CIENTO TRES PESOS 23/100 M.N.</t>
  </si>
  <si>
    <t>CIENTO TREINTA Y TRES PESOS 43/100 M.N.</t>
  </si>
  <si>
    <t>SEISCIENTOS CUARENTA Y NUEVE PESOS 02/100 M.N.</t>
  </si>
  <si>
    <t xml:space="preserve">SETECIENTOS VEINTITRES PESOS 50/100 M.N. </t>
  </si>
  <si>
    <t>OCHOCIENTOS SETENTA Y SEIS PESOS 07/100 M.N.</t>
  </si>
  <si>
    <t>DOSCIENTOS NOVENTA Y CUATRO PESOS 35/100 M.N.</t>
  </si>
  <si>
    <t>QUINIENTOS CUARENTA PESOS 73/100 M.N.</t>
  </si>
  <si>
    <t>MIL TRESCIENTOS CUARENTA Y CINCO PESOS 98/100 M.N.</t>
  </si>
  <si>
    <t>NOVECIENTOS OCHENTA Y NUEVE PESOS 07/100 M.N.</t>
  </si>
  <si>
    <t>SEISCIENTOS OCHENTA Y OCHO PESOS 95/100 M.N.</t>
  </si>
  <si>
    <t>SETECIENTOS DOCE PESOS 62/100 M.N.</t>
  </si>
  <si>
    <t>OCHOCIENTOS SESENTA Y CUATRO PESOS 88/100 M.N.</t>
  </si>
  <si>
    <t>CIENTO OCHENTA Y DOS PESOS 76/100 M.N.</t>
  </si>
  <si>
    <t>SEISCIENTOS VEINTE PESOS 88/100 M.N.</t>
  </si>
  <si>
    <t>SETECIENTOS SESENTA Y SIETE PESOS 42/100 M.N.</t>
  </si>
  <si>
    <t>TRESCIENTOS CUARENTA PESOS 95/100 M.N.</t>
  </si>
  <si>
    <t>DOSCIENTOS CUATRO PESOS 91/100 M.N.</t>
  </si>
  <si>
    <t>SETENTA Y SEIS PESOS 15/100 M.N.</t>
  </si>
  <si>
    <t>SETENTA Y CUATRO PESOS 67/100 M.N.</t>
  </si>
  <si>
    <t>SESENTA Y DOS PESOS 69/100 M.N.</t>
  </si>
  <si>
    <t>CIENTO CUATRO PESOS  29/100 M.N.</t>
  </si>
  <si>
    <t>CIENTO QUINCE PESOS 59/100 M.N.</t>
  </si>
  <si>
    <t>TRESCIENTOS NOVENTA Y SIETE PESOS 03/100 M.N.</t>
  </si>
  <si>
    <t>TRESCIENTOS CINCUENTA Y CUATRO PESOS 23/100 M.N.</t>
  </si>
  <si>
    <t>DOSCIENTOS VEINTIDOS PESOS 35/100 M.N.</t>
  </si>
  <si>
    <t>TRESCIENTOS SEIS PESOS 94/100 M.N.</t>
  </si>
  <si>
    <t>MIL SEISCIENTOS SESENTA Y TRES PESOS 40/100 M.N.</t>
  </si>
  <si>
    <t>MIL DOSCIENTOS SETENTA Y DOS PESOS 91/100 M.N.</t>
  </si>
  <si>
    <t>CINCO MIL QUINIENTOS VEINTICINCO PESOS 92/100 M.N.</t>
  </si>
  <si>
    <t>MIL QUINIENTOS OCHENTA Y CUATRO PESOS 22/100 M.N.</t>
  </si>
  <si>
    <t>DOS MIL CUATROSCIENTOS OCHENTA Y SEIS PESOS 82/100 M.N.</t>
  </si>
  <si>
    <t>DOS MIL SEISCIENTOS CINCUENTA Y DOS PESOS 93/100 M.N.</t>
  </si>
  <si>
    <t>TRESCIENTOS TREINTA Y SEIS PESOS 67/100 M.N.</t>
  </si>
  <si>
    <t>TRESCIENTOS DIECINUEVE PESOS 22/100 M.N.</t>
  </si>
  <si>
    <t>CUATROCIENTOS NUEVE PESOS 31/100 M.N.</t>
  </si>
  <si>
    <t>CUATROCIENTOS VEINTITRES PESOS 67/100 M.N.</t>
  </si>
  <si>
    <t>CUATROCIENTOS TREINTA Y CUATRO PESOS 00/100 M.N.</t>
  </si>
  <si>
    <t>TRESCIENTOS CUARENTA PESOS 02/100 M.N.</t>
  </si>
  <si>
    <t>CUATROCIENTOS SESENTA Y CUATRO PESOS 14/100 M.N.</t>
  </si>
  <si>
    <t>OCHOCIENTOS SESENTA Y DOS PESOS 73/100 M.N.</t>
  </si>
  <si>
    <t>TRES MIL DOSCIENTOS CINCUENTA Y CUATRO PESOS 05/100 M.N.</t>
  </si>
  <si>
    <t>TRES MIL OCHOCIENTOS TREINTA Y CINCO PESOS 94/100 M.N.</t>
  </si>
  <si>
    <t>TRES MIL QUINIENTOS SETENTA Y SIETE PESOS 26/100 M.N.</t>
  </si>
  <si>
    <t>DOS MIL OCHOCIENTOS DIECISEIS PESOS 96/100 M.N.</t>
  </si>
  <si>
    <t>SUBTOTAL PRELIMINARES</t>
  </si>
  <si>
    <t xml:space="preserve">SUBTOTAL ALBAÑILERIA </t>
  </si>
  <si>
    <t>SUBTOTAL ACABADOS</t>
  </si>
  <si>
    <t>SUBTOTAL INSTALACIONES HIDRAULICAS</t>
  </si>
  <si>
    <t>SUBTOTAL INSTALACIONES SANITARIAS</t>
  </si>
  <si>
    <t>SUBTOTAL COLOCACIÓN DE MUEBLES</t>
  </si>
  <si>
    <t>SUBTOTAL JARDINERÍA</t>
  </si>
  <si>
    <t>SUBTOTAL ALBAÑILERÍA</t>
  </si>
  <si>
    <t>CIM-011</t>
  </si>
  <si>
    <t>Elaboración decontra trabe de sección 25x15 fabricada con concreto F'C= 200 kg/cm2, armada con acero del #5 (5/8") y estribos del #3 @12 cm. Incluye: suministro de materiales, habilitado, armado, amarres, cimbrado, vaciado de concreeto, vibrado, curado, herramientas y equipo de seguridad</t>
  </si>
  <si>
    <t>ACA-013</t>
  </si>
  <si>
    <t>Suministro y apliación de impermeabilizante  marca Imperquimia modelo Elastón 5 All Terrain aplicado a dos manos. Incluye: materiales, mano de obra, herramienta y euqipo.</t>
  </si>
  <si>
    <t>INDIRECTOS 16.44%</t>
  </si>
  <si>
    <t>SUBTOTAL 1</t>
  </si>
  <si>
    <t>FINANCIAMIENTO  0.1074%</t>
  </si>
  <si>
    <t>SUBTOTAL 2</t>
  </si>
  <si>
    <t>UTILIDAD 6.67%</t>
  </si>
  <si>
    <t>TOTAL DEL PRESUPUESTO CON SOBRECOSTO</t>
  </si>
  <si>
    <t>IVA 16%</t>
  </si>
  <si>
    <t>TOTAL CON IVA</t>
  </si>
  <si>
    <t>*IMPORTE CON LETRA*</t>
  </si>
  <si>
    <t>ALB-08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</si>
</sst>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164" formatCode="[$$-80A]#,##0.00"/>
    <numFmt numFmtId="165" formatCode="[$$-80A]#,##0.00;&quot;-&quot;[$$-80A]#,##0.00"/>
    <numFmt numFmtId="166" formatCode="0.00000"/>
    <numFmt numFmtId="167" formatCode="&quot; &quot;[$$-80A]* #,##0.00&quot; &quot;;&quot;-&quot;[$$-80A]* #,##0.00&quot; &quot;;&quot; &quot;[$$-80A]* &quot;-&quot;??&quot; &quot;"/>
    <numFmt numFmtId="168" formatCode="0.000"/>
    <numFmt numFmtId="169" formatCode="0.0000"/>
    <numFmt numFmtId="170" formatCode="0.0000%"/>
    <numFmt numFmtId="171" formatCode="0.0"/>
    <numFmt numFmtId="172" formatCode="&quot;$&quot;#,##0.00"/>
    <numFmt numFmtId="173" formatCode="[$$-80A]#,##0.000000;&quot;-&quot;[$$-80A]#,##0.000000"/>
    <numFmt numFmtId="174" formatCode="0.000000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12"/>
      <name val="Calibri"/>
      <family val="2"/>
    </font>
    <font>
      <u/>
      <sz val="11"/>
      <color indexed="37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70C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6" tint="0.3999755851924192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0"/>
      <name val="Source Sans Pro Black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indexed="33"/>
        <bgColor auto="1"/>
      </patternFill>
    </fill>
    <fill>
      <patternFill patternType="solid">
        <fgColor indexed="34"/>
        <bgColor auto="1"/>
      </patternFill>
    </fill>
    <fill>
      <patternFill patternType="solid">
        <fgColor indexed="35"/>
        <bgColor auto="1"/>
      </patternFill>
    </fill>
    <fill>
      <patternFill patternType="solid">
        <fgColor indexed="36"/>
        <bgColor auto="1"/>
      </patternFill>
    </fill>
    <fill>
      <patternFill patternType="solid">
        <fgColor indexed="38"/>
        <bgColor auto="1"/>
      </patternFill>
    </fill>
    <fill>
      <patternFill patternType="solid">
        <fgColor indexed="39"/>
        <bgColor auto="1"/>
      </patternFill>
    </fill>
    <fill>
      <patternFill patternType="solid">
        <fgColor indexed="40"/>
        <bgColor auto="1"/>
      </patternFill>
    </fill>
    <fill>
      <patternFill patternType="solid">
        <fgColor indexed="41"/>
        <bgColor auto="1"/>
      </patternFill>
    </fill>
    <fill>
      <patternFill patternType="solid">
        <fgColor indexed="42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11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26"/>
      </bottom>
      <diagonal/>
    </border>
    <border>
      <left style="thin">
        <color indexed="10"/>
      </left>
      <right style="thin">
        <color indexed="26"/>
      </right>
      <top style="thin">
        <color indexed="8"/>
      </top>
      <bottom style="thin">
        <color indexed="8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6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8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 applyNumberFormat="0" applyFill="0" applyBorder="0" applyProtection="0"/>
    <xf numFmtId="44" fontId="9" fillId="0" borderId="0" applyFont="0" applyFill="0" applyBorder="0" applyAlignment="0" applyProtection="0"/>
    <xf numFmtId="0" fontId="1" fillId="0" borderId="46"/>
    <xf numFmtId="9" fontId="1" fillId="0" borderId="46" applyFont="0" applyFill="0" applyBorder="0" applyAlignment="0" applyProtection="0"/>
    <xf numFmtId="44" fontId="1" fillId="0" borderId="46" applyFont="0" applyFill="0" applyBorder="0" applyAlignment="0" applyProtection="0"/>
    <xf numFmtId="44" fontId="1" fillId="0" borderId="46" applyFont="0" applyFill="0" applyBorder="0" applyAlignment="0" applyProtection="0"/>
    <xf numFmtId="44" fontId="1" fillId="0" borderId="46" applyFont="0" applyFill="0" applyBorder="0" applyAlignment="0" applyProtection="0"/>
    <xf numFmtId="44" fontId="1" fillId="0" borderId="46" applyFont="0" applyFill="0" applyBorder="0" applyAlignment="0" applyProtection="0"/>
    <xf numFmtId="0" fontId="13" fillId="0" borderId="46" applyNumberFormat="0" applyFill="0" applyBorder="0" applyProtection="0"/>
    <xf numFmtId="44" fontId="9" fillId="0" borderId="46" applyFont="0" applyFill="0" applyBorder="0" applyAlignment="0" applyProtection="0"/>
  </cellStyleXfs>
  <cellXfs count="9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/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left" vertical="center" wrapText="1"/>
    </xf>
    <xf numFmtId="0" fontId="0" fillId="2" borderId="6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165" fontId="0" fillId="2" borderId="6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 wrapText="1"/>
    </xf>
    <xf numFmtId="49" fontId="0" fillId="2" borderId="16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>
      <alignment horizontal="left" vertical="center" wrapText="1"/>
    </xf>
    <xf numFmtId="0" fontId="0" fillId="2" borderId="16" xfId="0" applyNumberFormat="1" applyFont="1" applyFill="1" applyBorder="1" applyAlignment="1">
      <alignment horizontal="center" vertical="center"/>
    </xf>
    <xf numFmtId="164" fontId="0" fillId="2" borderId="16" xfId="0" applyNumberFormat="1" applyFont="1" applyFill="1" applyBorder="1" applyAlignment="1">
      <alignment horizontal="center" vertical="center"/>
    </xf>
    <xf numFmtId="165" fontId="0" fillId="2" borderId="16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165" fontId="0" fillId="2" borderId="17" xfId="0" applyNumberFormat="1" applyFont="1" applyFill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/>
    </xf>
    <xf numFmtId="166" fontId="0" fillId="2" borderId="6" xfId="0" applyNumberFormat="1" applyFont="1" applyFill="1" applyBorder="1" applyAlignment="1">
      <alignment horizontal="center" vertical="center"/>
    </xf>
    <xf numFmtId="166" fontId="0" fillId="2" borderId="16" xfId="0" applyNumberFormat="1" applyFont="1" applyFill="1" applyBorder="1" applyAlignment="1">
      <alignment horizontal="center" vertical="center"/>
    </xf>
    <xf numFmtId="167" fontId="0" fillId="2" borderId="16" xfId="0" applyNumberFormat="1" applyFont="1" applyFill="1" applyBorder="1" applyAlignment="1">
      <alignment horizontal="center" vertical="center"/>
    </xf>
    <xf numFmtId="168" fontId="0" fillId="2" borderId="16" xfId="0" applyNumberFormat="1" applyFont="1" applyFill="1" applyBorder="1" applyAlignment="1">
      <alignment horizontal="center" vertical="center"/>
    </xf>
    <xf numFmtId="49" fontId="0" fillId="2" borderId="17" xfId="0" applyNumberFormat="1" applyFont="1" applyFill="1" applyBorder="1" applyAlignment="1">
      <alignment horizontal="center" vertical="center"/>
    </xf>
    <xf numFmtId="49" fontId="0" fillId="2" borderId="17" xfId="0" applyNumberFormat="1" applyFont="1" applyFill="1" applyBorder="1" applyAlignment="1">
      <alignment horizontal="left" vertical="center" wrapText="1"/>
    </xf>
    <xf numFmtId="168" fontId="0" fillId="2" borderId="17" xfId="0" applyNumberFormat="1" applyFont="1" applyFill="1" applyBorder="1" applyAlignment="1">
      <alignment horizontal="center" vertical="center"/>
    </xf>
    <xf numFmtId="164" fontId="0" fillId="2" borderId="17" xfId="0" applyNumberFormat="1" applyFont="1" applyFill="1" applyBorder="1" applyAlignment="1">
      <alignment horizontal="center" vertical="center"/>
    </xf>
    <xf numFmtId="165" fontId="4" fillId="4" borderId="5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left" vertical="center" wrapText="1"/>
    </xf>
    <xf numFmtId="0" fontId="0" fillId="2" borderId="5" xfId="0" applyNumberFormat="1" applyFont="1" applyFill="1" applyBorder="1" applyAlignment="1">
      <alignment horizontal="center" vertical="center"/>
    </xf>
    <xf numFmtId="165" fontId="0" fillId="2" borderId="5" xfId="0" applyNumberFormat="1" applyFont="1" applyFill="1" applyBorder="1" applyAlignment="1">
      <alignment horizontal="center" vertical="center"/>
    </xf>
    <xf numFmtId="165" fontId="4" fillId="5" borderId="5" xfId="0" applyNumberFormat="1" applyFont="1" applyFill="1" applyBorder="1" applyAlignment="1">
      <alignment horizontal="center" vertical="center"/>
    </xf>
    <xf numFmtId="165" fontId="4" fillId="6" borderId="5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165" fontId="4" fillId="7" borderId="5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/>
    </xf>
    <xf numFmtId="0" fontId="0" fillId="2" borderId="18" xfId="0" applyFont="1" applyFill="1" applyBorder="1" applyAlignment="1"/>
    <xf numFmtId="165" fontId="4" fillId="2" borderId="5" xfId="0" applyNumberFormat="1" applyFont="1" applyFill="1" applyBorder="1" applyAlignment="1">
      <alignment horizontal="center" vertical="center"/>
    </xf>
    <xf numFmtId="10" fontId="4" fillId="2" borderId="3" xfId="0" applyNumberFormat="1" applyFont="1" applyFill="1" applyBorder="1" applyAlignment="1">
      <alignment horizontal="center" vertical="center"/>
    </xf>
    <xf numFmtId="170" fontId="4" fillId="2" borderId="3" xfId="0" applyNumberFormat="1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0" fontId="0" fillId="0" borderId="2" xfId="0" applyFont="1" applyBorder="1" applyAlignment="1"/>
    <xf numFmtId="0" fontId="0" fillId="0" borderId="19" xfId="0" applyFont="1" applyBorder="1" applyAlignment="1"/>
    <xf numFmtId="0" fontId="0" fillId="2" borderId="20" xfId="0" applyFont="1" applyFill="1" applyBorder="1" applyAlignment="1"/>
    <xf numFmtId="0" fontId="0" fillId="0" borderId="18" xfId="0" applyFont="1" applyBorder="1" applyAlignment="1"/>
    <xf numFmtId="0" fontId="0" fillId="0" borderId="0" xfId="0" applyNumberFormat="1" applyFont="1" applyAlignment="1"/>
    <xf numFmtId="0" fontId="0" fillId="0" borderId="21" xfId="0" applyFont="1" applyBorder="1" applyAlignment="1"/>
    <xf numFmtId="49" fontId="4" fillId="0" borderId="22" xfId="0" applyNumberFormat="1" applyFont="1" applyBorder="1" applyAlignment="1"/>
    <xf numFmtId="49" fontId="0" fillId="0" borderId="23" xfId="0" applyNumberFormat="1" applyFont="1" applyBorder="1" applyAlignment="1">
      <alignment horizontal="center"/>
    </xf>
    <xf numFmtId="49" fontId="0" fillId="0" borderId="22" xfId="0" applyNumberFormat="1" applyFont="1" applyBorder="1" applyAlignment="1"/>
    <xf numFmtId="0" fontId="0" fillId="0" borderId="26" xfId="0" applyFont="1" applyBorder="1" applyAlignment="1"/>
    <xf numFmtId="49" fontId="0" fillId="8" borderId="27" xfId="0" applyNumberFormat="1" applyFont="1" applyFill="1" applyBorder="1" applyAlignment="1"/>
    <xf numFmtId="49" fontId="0" fillId="8" borderId="28" xfId="0" applyNumberFormat="1" applyFont="1" applyFill="1" applyBorder="1" applyAlignment="1"/>
    <xf numFmtId="49" fontId="0" fillId="8" borderId="29" xfId="0" applyNumberFormat="1" applyFont="1" applyFill="1" applyBorder="1" applyAlignment="1"/>
    <xf numFmtId="49" fontId="0" fillId="0" borderId="30" xfId="0" applyNumberFormat="1" applyFont="1" applyBorder="1" applyAlignment="1"/>
    <xf numFmtId="0" fontId="0" fillId="0" borderId="30" xfId="0" applyNumberFormat="1" applyFont="1" applyBorder="1" applyAlignment="1"/>
    <xf numFmtId="167" fontId="0" fillId="0" borderId="30" xfId="0" applyNumberFormat="1" applyFont="1" applyBorder="1" applyAlignment="1"/>
    <xf numFmtId="167" fontId="0" fillId="0" borderId="31" xfId="0" applyNumberFormat="1" applyFont="1" applyBorder="1" applyAlignment="1"/>
    <xf numFmtId="49" fontId="0" fillId="0" borderId="18" xfId="0" applyNumberFormat="1" applyFont="1" applyBorder="1" applyAlignment="1"/>
    <xf numFmtId="0" fontId="0" fillId="0" borderId="18" xfId="0" applyNumberFormat="1" applyFont="1" applyBorder="1" applyAlignment="1"/>
    <xf numFmtId="167" fontId="0" fillId="0" borderId="18" xfId="0" applyNumberFormat="1" applyFont="1" applyBorder="1" applyAlignment="1"/>
    <xf numFmtId="167" fontId="0" fillId="0" borderId="32" xfId="0" applyNumberFormat="1" applyFont="1" applyBorder="1" applyAlignment="1"/>
    <xf numFmtId="49" fontId="0" fillId="0" borderId="21" xfId="0" applyNumberFormat="1" applyFont="1" applyBorder="1" applyAlignment="1"/>
    <xf numFmtId="0" fontId="0" fillId="0" borderId="21" xfId="0" applyNumberFormat="1" applyFont="1" applyBorder="1" applyAlignment="1"/>
    <xf numFmtId="167" fontId="0" fillId="0" borderId="21" xfId="0" applyNumberFormat="1" applyFont="1" applyBorder="1" applyAlignment="1"/>
    <xf numFmtId="167" fontId="0" fillId="0" borderId="33" xfId="0" applyNumberFormat="1" applyFont="1" applyBorder="1" applyAlignment="1"/>
    <xf numFmtId="167" fontId="0" fillId="0" borderId="22" xfId="0" applyNumberFormat="1" applyFont="1" applyBorder="1" applyAlignment="1"/>
    <xf numFmtId="0" fontId="0" fillId="0" borderId="24" xfId="0" applyFont="1" applyBorder="1" applyAlignment="1"/>
    <xf numFmtId="49" fontId="0" fillId="10" borderId="27" xfId="0" applyNumberFormat="1" applyFont="1" applyFill="1" applyBorder="1" applyAlignment="1"/>
    <xf numFmtId="49" fontId="0" fillId="10" borderId="28" xfId="0" applyNumberFormat="1" applyFont="1" applyFill="1" applyBorder="1" applyAlignment="1"/>
    <xf numFmtId="49" fontId="0" fillId="10" borderId="29" xfId="0" applyNumberFormat="1" applyFont="1" applyFill="1" applyBorder="1" applyAlignment="1"/>
    <xf numFmtId="49" fontId="0" fillId="0" borderId="34" xfId="0" applyNumberFormat="1" applyFont="1" applyBorder="1" applyAlignment="1"/>
    <xf numFmtId="49" fontId="0" fillId="0" borderId="30" xfId="0" applyNumberFormat="1" applyFont="1" applyBorder="1" applyAlignment="1">
      <alignment horizontal="center"/>
    </xf>
    <xf numFmtId="49" fontId="0" fillId="0" borderId="35" xfId="0" applyNumberFormat="1" applyFont="1" applyBorder="1" applyAlignment="1"/>
    <xf numFmtId="168" fontId="0" fillId="0" borderId="21" xfId="0" applyNumberFormat="1" applyFont="1" applyBorder="1" applyAlignment="1"/>
    <xf numFmtId="49" fontId="0" fillId="0" borderId="21" xfId="0" applyNumberFormat="1" applyFont="1" applyBorder="1" applyAlignment="1">
      <alignment horizontal="center"/>
    </xf>
    <xf numFmtId="49" fontId="0" fillId="11" borderId="27" xfId="0" applyNumberFormat="1" applyFont="1" applyFill="1" applyBorder="1" applyAlignment="1"/>
    <xf numFmtId="49" fontId="0" fillId="11" borderId="28" xfId="0" applyNumberFormat="1" applyFont="1" applyFill="1" applyBorder="1" applyAlignment="1"/>
    <xf numFmtId="49" fontId="0" fillId="11" borderId="29" xfId="0" applyNumberFormat="1" applyFont="1" applyFill="1" applyBorder="1" applyAlignment="1"/>
    <xf numFmtId="0" fontId="0" fillId="0" borderId="36" xfId="0" applyFont="1" applyBorder="1" applyAlignment="1"/>
    <xf numFmtId="49" fontId="0" fillId="13" borderId="27" xfId="0" applyNumberFormat="1" applyFont="1" applyFill="1" applyBorder="1" applyAlignment="1"/>
    <xf numFmtId="49" fontId="0" fillId="13" borderId="28" xfId="0" applyNumberFormat="1" applyFont="1" applyFill="1" applyBorder="1" applyAlignment="1"/>
    <xf numFmtId="49" fontId="0" fillId="13" borderId="29" xfId="0" applyNumberFormat="1" applyFont="1" applyFill="1" applyBorder="1" applyAlignment="1"/>
    <xf numFmtId="168" fontId="0" fillId="0" borderId="30" xfId="0" applyNumberFormat="1" applyFont="1" applyBorder="1" applyAlignment="1"/>
    <xf numFmtId="49" fontId="0" fillId="0" borderId="26" xfId="0" applyNumberFormat="1" applyFont="1" applyBorder="1" applyAlignment="1"/>
    <xf numFmtId="168" fontId="0" fillId="0" borderId="18" xfId="0" applyNumberFormat="1" applyFont="1" applyBorder="1" applyAlignment="1"/>
    <xf numFmtId="49" fontId="0" fillId="0" borderId="18" xfId="0" applyNumberFormat="1" applyFont="1" applyBorder="1" applyAlignment="1">
      <alignment horizontal="center"/>
    </xf>
    <xf numFmtId="49" fontId="0" fillId="15" borderId="27" xfId="0" applyNumberFormat="1" applyFont="1" applyFill="1" applyBorder="1" applyAlignment="1"/>
    <xf numFmtId="49" fontId="0" fillId="15" borderId="28" xfId="0" applyNumberFormat="1" applyFont="1" applyFill="1" applyBorder="1" applyAlignment="1"/>
    <xf numFmtId="49" fontId="0" fillId="15" borderId="29" xfId="0" applyNumberFormat="1" applyFont="1" applyFill="1" applyBorder="1" applyAlignment="1"/>
    <xf numFmtId="0" fontId="0" fillId="0" borderId="37" xfId="0" applyFont="1" applyBorder="1" applyAlignment="1"/>
    <xf numFmtId="0" fontId="0" fillId="0" borderId="38" xfId="0" applyFont="1" applyBorder="1" applyAlignment="1"/>
    <xf numFmtId="0" fontId="0" fillId="0" borderId="39" xfId="0" applyFont="1" applyBorder="1" applyAlignment="1"/>
    <xf numFmtId="0" fontId="0" fillId="0" borderId="40" xfId="0" applyFont="1" applyBorder="1" applyAlignment="1"/>
    <xf numFmtId="0" fontId="0" fillId="0" borderId="41" xfId="0" applyFont="1" applyBorder="1" applyAlignment="1"/>
    <xf numFmtId="49" fontId="0" fillId="17" borderId="27" xfId="0" applyNumberFormat="1" applyFont="1" applyFill="1" applyBorder="1" applyAlignment="1"/>
    <xf numFmtId="49" fontId="0" fillId="17" borderId="28" xfId="0" applyNumberFormat="1" applyFont="1" applyFill="1" applyBorder="1" applyAlignment="1"/>
    <xf numFmtId="49" fontId="0" fillId="17" borderId="29" xfId="0" applyNumberFormat="1" applyFont="1" applyFill="1" applyBorder="1" applyAlignment="1"/>
    <xf numFmtId="0" fontId="0" fillId="0" borderId="30" xfId="0" applyFont="1" applyBorder="1" applyAlignment="1"/>
    <xf numFmtId="49" fontId="4" fillId="0" borderId="23" xfId="0" applyNumberFormat="1" applyFont="1" applyBorder="1" applyAlignment="1"/>
    <xf numFmtId="49" fontId="0" fillId="0" borderId="25" xfId="0" applyNumberFormat="1" applyFont="1" applyBorder="1" applyAlignment="1"/>
    <xf numFmtId="49" fontId="0" fillId="19" borderId="27" xfId="0" applyNumberFormat="1" applyFont="1" applyFill="1" applyBorder="1" applyAlignment="1"/>
    <xf numFmtId="49" fontId="0" fillId="19" borderId="28" xfId="0" applyNumberFormat="1" applyFont="1" applyFill="1" applyBorder="1" applyAlignment="1"/>
    <xf numFmtId="49" fontId="0" fillId="19" borderId="29" xfId="0" applyNumberFormat="1" applyFont="1" applyFill="1" applyBorder="1" applyAlignment="1"/>
    <xf numFmtId="167" fontId="0" fillId="0" borderId="42" xfId="0" applyNumberFormat="1" applyFont="1" applyBorder="1" applyAlignment="1"/>
    <xf numFmtId="49" fontId="0" fillId="20" borderId="27" xfId="0" applyNumberFormat="1" applyFont="1" applyFill="1" applyBorder="1" applyAlignment="1"/>
    <xf numFmtId="49" fontId="0" fillId="20" borderId="28" xfId="0" applyNumberFormat="1" applyFont="1" applyFill="1" applyBorder="1" applyAlignment="1"/>
    <xf numFmtId="49" fontId="0" fillId="20" borderId="29" xfId="0" applyNumberFormat="1" applyFont="1" applyFill="1" applyBorder="1" applyAlignment="1"/>
    <xf numFmtId="49" fontId="0" fillId="22" borderId="27" xfId="0" applyNumberFormat="1" applyFont="1" applyFill="1" applyBorder="1" applyAlignment="1"/>
    <xf numFmtId="49" fontId="0" fillId="22" borderId="28" xfId="0" applyNumberFormat="1" applyFont="1" applyFill="1" applyBorder="1" applyAlignment="1"/>
    <xf numFmtId="49" fontId="0" fillId="22" borderId="29" xfId="0" applyNumberFormat="1" applyFont="1" applyFill="1" applyBorder="1" applyAlignment="1"/>
    <xf numFmtId="49" fontId="0" fillId="0" borderId="43" xfId="0" applyNumberFormat="1" applyFont="1" applyBorder="1" applyAlignment="1"/>
    <xf numFmtId="49" fontId="0" fillId="2" borderId="44" xfId="0" applyNumberFormat="1" applyFont="1" applyFill="1" applyBorder="1" applyAlignment="1">
      <alignment horizontal="center" wrapText="1"/>
    </xf>
    <xf numFmtId="0" fontId="0" fillId="0" borderId="44" xfId="0" applyNumberFormat="1" applyFont="1" applyBorder="1" applyAlignment="1"/>
    <xf numFmtId="49" fontId="0" fillId="0" borderId="44" xfId="0" applyNumberFormat="1" applyFont="1" applyBorder="1" applyAlignment="1"/>
    <xf numFmtId="167" fontId="0" fillId="0" borderId="44" xfId="0" applyNumberFormat="1" applyFont="1" applyBorder="1" applyAlignment="1"/>
    <xf numFmtId="49" fontId="0" fillId="2" borderId="18" xfId="0" applyNumberFormat="1" applyFont="1" applyFill="1" applyBorder="1" applyAlignment="1">
      <alignment horizontal="center" wrapText="1"/>
    </xf>
    <xf numFmtId="49" fontId="0" fillId="0" borderId="45" xfId="0" applyNumberFormat="1" applyFont="1" applyBorder="1" applyAlignment="1"/>
    <xf numFmtId="49" fontId="0" fillId="0" borderId="46" xfId="0" applyNumberFormat="1" applyFont="1" applyBorder="1" applyAlignment="1"/>
    <xf numFmtId="0" fontId="0" fillId="0" borderId="46" xfId="0" applyNumberFormat="1" applyFont="1" applyBorder="1" applyAlignment="1"/>
    <xf numFmtId="167" fontId="0" fillId="0" borderId="46" xfId="0" applyNumberFormat="1" applyFont="1" applyBorder="1" applyAlignment="1"/>
    <xf numFmtId="167" fontId="0" fillId="0" borderId="47" xfId="0" applyNumberFormat="1" applyFont="1" applyBorder="1" applyAlignment="1"/>
    <xf numFmtId="49" fontId="0" fillId="0" borderId="48" xfId="0" applyNumberFormat="1" applyFont="1" applyBorder="1" applyAlignment="1"/>
    <xf numFmtId="49" fontId="0" fillId="0" borderId="49" xfId="0" applyNumberFormat="1" applyFont="1" applyBorder="1" applyAlignment="1"/>
    <xf numFmtId="49" fontId="0" fillId="0" borderId="50" xfId="0" applyNumberFormat="1" applyFont="1" applyBorder="1" applyAlignment="1"/>
    <xf numFmtId="49" fontId="0" fillId="0" borderId="51" xfId="0" applyNumberFormat="1" applyFont="1" applyBorder="1" applyAlignment="1"/>
    <xf numFmtId="0" fontId="0" fillId="0" borderId="51" xfId="0" applyNumberFormat="1" applyFont="1" applyBorder="1" applyAlignment="1"/>
    <xf numFmtId="167" fontId="0" fillId="0" borderId="51" xfId="0" applyNumberFormat="1" applyFont="1" applyBorder="1" applyAlignment="1"/>
    <xf numFmtId="49" fontId="0" fillId="2" borderId="30" xfId="0" applyNumberFormat="1" applyFont="1" applyFill="1" applyBorder="1" applyAlignment="1">
      <alignment wrapText="1"/>
    </xf>
    <xf numFmtId="169" fontId="0" fillId="0" borderId="30" xfId="0" applyNumberFormat="1" applyFont="1" applyBorder="1" applyAlignment="1"/>
    <xf numFmtId="0" fontId="4" fillId="0" borderId="18" xfId="0" applyFont="1" applyBorder="1" applyAlignment="1"/>
    <xf numFmtId="0" fontId="0" fillId="0" borderId="24" xfId="0" applyFont="1" applyBorder="1" applyAlignment="1">
      <alignment horizontal="right"/>
    </xf>
    <xf numFmtId="167" fontId="0" fillId="0" borderId="24" xfId="0" applyNumberFormat="1" applyFont="1" applyBorder="1" applyAlignment="1"/>
    <xf numFmtId="49" fontId="4" fillId="2" borderId="22" xfId="0" applyNumberFormat="1" applyFont="1" applyFill="1" applyBorder="1" applyAlignment="1">
      <alignment vertical="center"/>
    </xf>
    <xf numFmtId="49" fontId="0" fillId="12" borderId="22" xfId="0" applyNumberFormat="1" applyFont="1" applyFill="1" applyBorder="1" applyAlignment="1">
      <alignment horizontal="center" vertical="center"/>
    </xf>
    <xf numFmtId="49" fontId="0" fillId="12" borderId="22" xfId="0" applyNumberFormat="1" applyFont="1" applyFill="1" applyBorder="1" applyAlignment="1">
      <alignment horizontal="center" vertical="center" wrapText="1"/>
    </xf>
    <xf numFmtId="49" fontId="0" fillId="23" borderId="52" xfId="0" applyNumberFormat="1" applyFont="1" applyFill="1" applyBorder="1" applyAlignment="1"/>
    <xf numFmtId="0" fontId="0" fillId="0" borderId="31" xfId="0" applyNumberFormat="1" applyFont="1" applyBorder="1" applyAlignment="1"/>
    <xf numFmtId="2" fontId="0" fillId="0" borderId="30" xfId="0" applyNumberFormat="1" applyFont="1" applyBorder="1" applyAlignment="1"/>
    <xf numFmtId="49" fontId="0" fillId="23" borderId="53" xfId="0" applyNumberFormat="1" applyFont="1" applyFill="1" applyBorder="1" applyAlignment="1"/>
    <xf numFmtId="0" fontId="0" fillId="0" borderId="32" xfId="0" applyNumberFormat="1" applyFont="1" applyBorder="1" applyAlignment="1"/>
    <xf numFmtId="2" fontId="0" fillId="0" borderId="18" xfId="0" applyNumberFormat="1" applyFont="1" applyBorder="1" applyAlignment="1"/>
    <xf numFmtId="0" fontId="0" fillId="0" borderId="33" xfId="0" applyNumberFormat="1" applyFont="1" applyBorder="1" applyAlignment="1"/>
    <xf numFmtId="0" fontId="0" fillId="12" borderId="27" xfId="0" applyFont="1" applyFill="1" applyBorder="1" applyAlignment="1"/>
    <xf numFmtId="49" fontId="0" fillId="12" borderId="29" xfId="0" applyNumberFormat="1" applyFont="1" applyFill="1" applyBorder="1" applyAlignment="1">
      <alignment horizontal="center"/>
    </xf>
    <xf numFmtId="0" fontId="0" fillId="0" borderId="35" xfId="0" applyFont="1" applyBorder="1" applyAlignment="1"/>
    <xf numFmtId="0" fontId="0" fillId="0" borderId="33" xfId="0" applyFont="1" applyBorder="1" applyAlignment="1"/>
    <xf numFmtId="49" fontId="0" fillId="12" borderId="22" xfId="0" applyNumberFormat="1" applyFont="1" applyFill="1" applyBorder="1" applyAlignment="1"/>
    <xf numFmtId="2" fontId="0" fillId="0" borderId="22" xfId="0" applyNumberFormat="1" applyFont="1" applyBorder="1" applyAlignment="1"/>
    <xf numFmtId="0" fontId="0" fillId="0" borderId="34" xfId="0" applyFont="1" applyBorder="1" applyAlignment="1"/>
    <xf numFmtId="49" fontId="0" fillId="2" borderId="21" xfId="0" applyNumberFormat="1" applyFont="1" applyFill="1" applyBorder="1" applyAlignment="1">
      <alignment wrapText="1"/>
    </xf>
    <xf numFmtId="0" fontId="0" fillId="0" borderId="32" xfId="0" applyFont="1" applyBorder="1" applyAlignment="1"/>
    <xf numFmtId="0" fontId="0" fillId="0" borderId="0" xfId="0" applyNumberFormat="1" applyFont="1" applyAlignment="1"/>
    <xf numFmtId="0" fontId="0" fillId="0" borderId="49" xfId="0" applyFont="1" applyBorder="1" applyAlignment="1"/>
    <xf numFmtId="49" fontId="0" fillId="0" borderId="22" xfId="0" applyNumberFormat="1" applyFont="1" applyBorder="1" applyAlignment="1">
      <alignment horizontal="center"/>
    </xf>
    <xf numFmtId="0" fontId="0" fillId="0" borderId="0" xfId="0" applyNumberFormat="1" applyFont="1" applyAlignment="1"/>
    <xf numFmtId="49" fontId="4" fillId="2" borderId="22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49" fontId="4" fillId="26" borderId="22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wrapText="1"/>
    </xf>
    <xf numFmtId="49" fontId="0" fillId="2" borderId="22" xfId="0" applyNumberFormat="1" applyFont="1" applyFill="1" applyBorder="1" applyAlignment="1">
      <alignment vertical="center" wrapText="1"/>
    </xf>
    <xf numFmtId="49" fontId="0" fillId="2" borderId="22" xfId="0" applyNumberFormat="1" applyFont="1" applyFill="1" applyBorder="1" applyAlignment="1">
      <alignment horizontal="center" vertical="center"/>
    </xf>
    <xf numFmtId="164" fontId="0" fillId="26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horizontal="center" vertical="center" wrapText="1"/>
    </xf>
    <xf numFmtId="164" fontId="0" fillId="26" borderId="22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wrapText="1"/>
    </xf>
    <xf numFmtId="0" fontId="0" fillId="0" borderId="0" xfId="0" applyNumberFormat="1" applyFont="1" applyAlignment="1"/>
    <xf numFmtId="49" fontId="0" fillId="0" borderId="34" xfId="0" applyNumberFormat="1" applyFont="1" applyBorder="1" applyAlignment="1">
      <alignment horizontal="center"/>
    </xf>
    <xf numFmtId="164" fontId="0" fillId="0" borderId="30" xfId="0" applyNumberFormat="1" applyFont="1" applyBorder="1" applyAlignment="1"/>
    <xf numFmtId="0" fontId="0" fillId="0" borderId="31" xfId="0" applyFont="1" applyBorder="1" applyAlignment="1">
      <alignment horizontal="center"/>
    </xf>
    <xf numFmtId="49" fontId="0" fillId="0" borderId="26" xfId="0" applyNumberFormat="1" applyFont="1" applyBorder="1" applyAlignment="1">
      <alignment horizontal="center"/>
    </xf>
    <xf numFmtId="164" fontId="0" fillId="0" borderId="18" xfId="0" applyNumberFormat="1" applyFont="1" applyBorder="1" applyAlignment="1"/>
    <xf numFmtId="0" fontId="0" fillId="0" borderId="32" xfId="0" applyFont="1" applyBorder="1" applyAlignment="1">
      <alignment horizontal="center"/>
    </xf>
    <xf numFmtId="0" fontId="0" fillId="0" borderId="18" xfId="0" applyNumberFormat="1" applyFont="1" applyBorder="1" applyAlignment="1">
      <alignment horizontal="right"/>
    </xf>
    <xf numFmtId="49" fontId="0" fillId="0" borderId="32" xfId="0" applyNumberFormat="1" applyFont="1" applyBorder="1" applyAlignment="1">
      <alignment horizontal="center"/>
    </xf>
    <xf numFmtId="1" fontId="0" fillId="0" borderId="18" xfId="0" applyNumberFormat="1" applyFont="1" applyBorder="1" applyAlignment="1"/>
    <xf numFmtId="0" fontId="0" fillId="0" borderId="18" xfId="0" applyFont="1" applyBorder="1" applyAlignment="1">
      <alignment horizontal="center"/>
    </xf>
    <xf numFmtId="49" fontId="0" fillId="0" borderId="18" xfId="0" applyNumberFormat="1" applyFont="1" applyBorder="1" applyAlignment="1">
      <alignment horizontal="right"/>
    </xf>
    <xf numFmtId="49" fontId="0" fillId="0" borderId="18" xfId="0" applyNumberFormat="1" applyFont="1" applyBorder="1" applyAlignment="1">
      <alignment horizontal="left"/>
    </xf>
    <xf numFmtId="169" fontId="0" fillId="0" borderId="18" xfId="0" applyNumberFormat="1" applyFont="1" applyBorder="1" applyAlignment="1"/>
    <xf numFmtId="49" fontId="0" fillId="0" borderId="21" xfId="0" applyNumberFormat="1" applyFont="1" applyBorder="1" applyAlignment="1">
      <alignment horizontal="right"/>
    </xf>
    <xf numFmtId="169" fontId="0" fillId="0" borderId="21" xfId="0" applyNumberFormat="1" applyFont="1" applyBorder="1" applyAlignment="1"/>
    <xf numFmtId="1" fontId="0" fillId="0" borderId="30" xfId="0" applyNumberFormat="1" applyFont="1" applyBorder="1" applyAlignment="1"/>
    <xf numFmtId="49" fontId="0" fillId="0" borderId="31" xfId="0" applyNumberFormat="1" applyFont="1" applyBorder="1" applyAlignment="1">
      <alignment horizontal="center"/>
    </xf>
    <xf numFmtId="49" fontId="0" fillId="0" borderId="35" xfId="0" applyNumberFormat="1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49" fontId="0" fillId="2" borderId="26" xfId="0" applyNumberFormat="1" applyFont="1" applyFill="1" applyBorder="1" applyAlignment="1">
      <alignment horizontal="center" vertical="center"/>
    </xf>
    <xf numFmtId="49" fontId="0" fillId="0" borderId="33" xfId="0" applyNumberFormat="1" applyFont="1" applyBorder="1" applyAlignment="1">
      <alignment horizontal="center"/>
    </xf>
    <xf numFmtId="49" fontId="0" fillId="0" borderId="30" xfId="0" applyNumberFormat="1" applyFont="1" applyBorder="1" applyAlignment="1">
      <alignment horizontal="left"/>
    </xf>
    <xf numFmtId="0" fontId="0" fillId="0" borderId="31" xfId="0" applyFont="1" applyBorder="1" applyAlignment="1"/>
    <xf numFmtId="49" fontId="0" fillId="0" borderId="21" xfId="0" applyNumberFormat="1" applyFont="1" applyBorder="1" applyAlignment="1">
      <alignment horizontal="left"/>
    </xf>
    <xf numFmtId="164" fontId="0" fillId="0" borderId="21" xfId="0" applyNumberFormat="1" applyFont="1" applyBorder="1" applyAlignment="1"/>
    <xf numFmtId="164" fontId="0" fillId="12" borderId="28" xfId="0" applyNumberFormat="1" applyFont="1" applyFill="1" applyBorder="1" applyAlignment="1"/>
    <xf numFmtId="0" fontId="0" fillId="12" borderId="29" xfId="0" applyFont="1" applyFill="1" applyBorder="1" applyAlignment="1"/>
    <xf numFmtId="0" fontId="0" fillId="0" borderId="26" xfId="0" applyFont="1" applyBorder="1" applyAlignment="1">
      <alignment horizontal="center"/>
    </xf>
    <xf numFmtId="0" fontId="0" fillId="0" borderId="31" xfId="0" applyFont="1" applyBorder="1" applyAlignment="1">
      <alignment horizontal="right"/>
    </xf>
    <xf numFmtId="164" fontId="0" fillId="0" borderId="32" xfId="0" applyNumberFormat="1" applyFont="1" applyBorder="1" applyAlignment="1"/>
    <xf numFmtId="164" fontId="0" fillId="30" borderId="28" xfId="0" applyNumberFormat="1" applyFont="1" applyFill="1" applyBorder="1" applyAlignment="1"/>
    <xf numFmtId="0" fontId="0" fillId="30" borderId="29" xfId="0" applyFont="1" applyFill="1" applyBorder="1" applyAlignment="1"/>
    <xf numFmtId="49" fontId="0" fillId="0" borderId="24" xfId="0" applyNumberFormat="1" applyFont="1" applyBorder="1" applyAlignment="1"/>
    <xf numFmtId="164" fontId="0" fillId="0" borderId="24" xfId="0" applyNumberFormat="1" applyFont="1" applyBorder="1" applyAlignment="1"/>
    <xf numFmtId="0" fontId="0" fillId="0" borderId="25" xfId="0" applyFont="1" applyBorder="1" applyAlignment="1"/>
    <xf numFmtId="0" fontId="0" fillId="31" borderId="27" xfId="0" applyFont="1" applyFill="1" applyBorder="1" applyAlignment="1"/>
    <xf numFmtId="49" fontId="0" fillId="31" borderId="28" xfId="0" applyNumberFormat="1" applyFont="1" applyFill="1" applyBorder="1" applyAlignment="1">
      <alignment horizontal="right"/>
    </xf>
    <xf numFmtId="164" fontId="0" fillId="31" borderId="28" xfId="0" applyNumberFormat="1" applyFont="1" applyFill="1" applyBorder="1" applyAlignment="1"/>
    <xf numFmtId="0" fontId="0" fillId="31" borderId="29" xfId="0" applyFont="1" applyFill="1" applyBorder="1" applyAlignment="1"/>
    <xf numFmtId="0" fontId="0" fillId="0" borderId="23" xfId="0" applyFont="1" applyBorder="1" applyAlignment="1"/>
    <xf numFmtId="164" fontId="0" fillId="14" borderId="28" xfId="0" applyNumberFormat="1" applyFont="1" applyFill="1" applyBorder="1" applyAlignment="1"/>
    <xf numFmtId="0" fontId="0" fillId="14" borderId="29" xfId="0" applyFont="1" applyFill="1" applyBorder="1" applyAlignment="1"/>
    <xf numFmtId="2" fontId="0" fillId="0" borderId="21" xfId="0" applyNumberFormat="1" applyFont="1" applyBorder="1" applyAlignment="1"/>
    <xf numFmtId="0" fontId="0" fillId="0" borderId="0" xfId="0" applyNumberFormat="1" applyFont="1" applyAlignment="1"/>
    <xf numFmtId="171" fontId="0" fillId="0" borderId="18" xfId="0" applyNumberFormat="1" applyFont="1" applyBorder="1" applyAlignment="1"/>
    <xf numFmtId="171" fontId="0" fillId="0" borderId="30" xfId="0" applyNumberFormat="1" applyFont="1" applyBorder="1" applyAlignment="1"/>
    <xf numFmtId="172" fontId="0" fillId="0" borderId="30" xfId="0" applyNumberFormat="1" applyFont="1" applyBorder="1" applyAlignment="1"/>
    <xf numFmtId="172" fontId="0" fillId="0" borderId="18" xfId="0" applyNumberFormat="1" applyFont="1" applyBorder="1" applyAlignment="1"/>
    <xf numFmtId="172" fontId="0" fillId="0" borderId="21" xfId="0" applyNumberFormat="1" applyFont="1" applyBorder="1" applyAlignment="1"/>
    <xf numFmtId="10" fontId="0" fillId="0" borderId="18" xfId="0" applyNumberFormat="1" applyFont="1" applyBorder="1" applyAlignment="1"/>
    <xf numFmtId="0" fontId="0" fillId="2" borderId="58" xfId="0" applyFont="1" applyFill="1" applyBorder="1" applyAlignment="1"/>
    <xf numFmtId="49" fontId="0" fillId="2" borderId="59" xfId="0" applyNumberFormat="1" applyFont="1" applyFill="1" applyBorder="1" applyAlignment="1">
      <alignment horizontal="center" vertical="center"/>
    </xf>
    <xf numFmtId="49" fontId="0" fillId="2" borderId="59" xfId="0" applyNumberFormat="1" applyFont="1" applyFill="1" applyBorder="1" applyAlignment="1">
      <alignment horizontal="left" vertical="center" wrapText="1"/>
    </xf>
    <xf numFmtId="0" fontId="0" fillId="2" borderId="59" xfId="0" applyNumberFormat="1" applyFont="1" applyFill="1" applyBorder="1" applyAlignment="1">
      <alignment horizontal="center" vertical="center"/>
    </xf>
    <xf numFmtId="164" fontId="0" fillId="2" borderId="59" xfId="0" applyNumberFormat="1" applyFont="1" applyFill="1" applyBorder="1" applyAlignment="1">
      <alignment horizontal="center" vertical="center"/>
    </xf>
    <xf numFmtId="165" fontId="0" fillId="2" borderId="59" xfId="0" applyNumberFormat="1" applyFont="1" applyFill="1" applyBorder="1" applyAlignment="1">
      <alignment horizontal="center" vertical="center"/>
    </xf>
    <xf numFmtId="49" fontId="0" fillId="2" borderId="60" xfId="0" applyNumberFormat="1" applyFont="1" applyFill="1" applyBorder="1" applyAlignment="1">
      <alignment horizontal="left" vertical="center" wrapText="1"/>
    </xf>
    <xf numFmtId="49" fontId="0" fillId="2" borderId="60" xfId="0" applyNumberFormat="1" applyFont="1" applyFill="1" applyBorder="1" applyAlignment="1">
      <alignment horizontal="center" vertical="center"/>
    </xf>
    <xf numFmtId="169" fontId="0" fillId="2" borderId="60" xfId="0" applyNumberFormat="1" applyFont="1" applyFill="1" applyBorder="1" applyAlignment="1">
      <alignment horizontal="center" vertical="center"/>
    </xf>
    <xf numFmtId="164" fontId="0" fillId="2" borderId="60" xfId="0" applyNumberFormat="1" applyFont="1" applyFill="1" applyBorder="1" applyAlignment="1">
      <alignment horizontal="center" vertical="center"/>
    </xf>
    <xf numFmtId="165" fontId="0" fillId="2" borderId="60" xfId="0" applyNumberFormat="1" applyFont="1" applyFill="1" applyBorder="1" applyAlignment="1">
      <alignment horizontal="center" vertical="center"/>
    </xf>
    <xf numFmtId="49" fontId="0" fillId="2" borderId="61" xfId="0" applyNumberFormat="1" applyFont="1" applyFill="1" applyBorder="1" applyAlignment="1">
      <alignment horizontal="center" vertical="center"/>
    </xf>
    <xf numFmtId="49" fontId="0" fillId="2" borderId="61" xfId="0" applyNumberFormat="1" applyFont="1" applyFill="1" applyBorder="1" applyAlignment="1">
      <alignment horizontal="left" vertical="center" wrapText="1"/>
    </xf>
    <xf numFmtId="169" fontId="0" fillId="2" borderId="61" xfId="0" applyNumberFormat="1" applyFont="1" applyFill="1" applyBorder="1" applyAlignment="1">
      <alignment horizontal="center" vertical="center"/>
    </xf>
    <xf numFmtId="164" fontId="0" fillId="2" borderId="61" xfId="0" applyNumberFormat="1" applyFont="1" applyFill="1" applyBorder="1" applyAlignment="1">
      <alignment horizontal="center" vertical="center"/>
    </xf>
    <xf numFmtId="165" fontId="0" fillId="2" borderId="61" xfId="0" applyNumberFormat="1" applyFont="1" applyFill="1" applyBorder="1" applyAlignment="1">
      <alignment horizontal="center" vertical="center"/>
    </xf>
    <xf numFmtId="49" fontId="0" fillId="32" borderId="27" xfId="0" applyNumberFormat="1" applyFont="1" applyFill="1" applyBorder="1" applyAlignment="1"/>
    <xf numFmtId="49" fontId="0" fillId="32" borderId="28" xfId="0" applyNumberFormat="1" applyFont="1" applyFill="1" applyBorder="1" applyAlignment="1"/>
    <xf numFmtId="49" fontId="0" fillId="32" borderId="29" xfId="0" applyNumberFormat="1" applyFont="1" applyFill="1" applyBorder="1" applyAlignment="1"/>
    <xf numFmtId="49" fontId="0" fillId="32" borderId="30" xfId="0" applyNumberFormat="1" applyFont="1" applyFill="1" applyBorder="1" applyAlignment="1"/>
    <xf numFmtId="167" fontId="0" fillId="32" borderId="30" xfId="0" applyNumberFormat="1" applyFont="1" applyFill="1" applyBorder="1" applyAlignment="1"/>
    <xf numFmtId="167" fontId="0" fillId="32" borderId="31" xfId="0" applyNumberFormat="1" applyFont="1" applyFill="1" applyBorder="1" applyAlignment="1"/>
    <xf numFmtId="0" fontId="0" fillId="32" borderId="18" xfId="0" applyNumberFormat="1" applyFont="1" applyFill="1" applyBorder="1" applyAlignment="1"/>
    <xf numFmtId="49" fontId="0" fillId="32" borderId="18" xfId="0" applyNumberFormat="1" applyFont="1" applyFill="1" applyBorder="1" applyAlignment="1"/>
    <xf numFmtId="167" fontId="0" fillId="32" borderId="18" xfId="0" applyNumberFormat="1" applyFont="1" applyFill="1" applyBorder="1" applyAlignment="1"/>
    <xf numFmtId="167" fontId="0" fillId="32" borderId="32" xfId="0" applyNumberFormat="1" applyFont="1" applyFill="1" applyBorder="1" applyAlignment="1"/>
    <xf numFmtId="49" fontId="0" fillId="32" borderId="26" xfId="0" applyNumberFormat="1" applyFont="1" applyFill="1" applyBorder="1" applyAlignment="1"/>
    <xf numFmtId="49" fontId="0" fillId="32" borderId="35" xfId="0" applyNumberFormat="1" applyFont="1" applyFill="1" applyBorder="1" applyAlignment="1"/>
    <xf numFmtId="49" fontId="0" fillId="32" borderId="21" xfId="0" applyNumberFormat="1" applyFont="1" applyFill="1" applyBorder="1" applyAlignment="1"/>
    <xf numFmtId="167" fontId="0" fillId="32" borderId="21" xfId="0" applyNumberFormat="1" applyFont="1" applyFill="1" applyBorder="1" applyAlignment="1"/>
    <xf numFmtId="168" fontId="0" fillId="32" borderId="18" xfId="0" applyNumberFormat="1" applyFont="1" applyFill="1" applyBorder="1" applyAlignment="1"/>
    <xf numFmtId="49" fontId="4" fillId="32" borderId="23" xfId="0" applyNumberFormat="1" applyFont="1" applyFill="1" applyBorder="1" applyAlignment="1"/>
    <xf numFmtId="49" fontId="0" fillId="32" borderId="25" xfId="0" applyNumberFormat="1" applyFont="1" applyFill="1" applyBorder="1" applyAlignment="1"/>
    <xf numFmtId="49" fontId="0" fillId="32" borderId="34" xfId="0" applyNumberFormat="1" applyFont="1" applyFill="1" applyBorder="1" applyAlignment="1"/>
    <xf numFmtId="0" fontId="0" fillId="32" borderId="30" xfId="0" applyNumberFormat="1" applyFont="1" applyFill="1" applyBorder="1" applyAlignment="1"/>
    <xf numFmtId="49" fontId="0" fillId="32" borderId="18" xfId="0" applyNumberFormat="1" applyFont="1" applyFill="1" applyBorder="1" applyAlignment="1">
      <alignment horizontal="center" wrapText="1"/>
    </xf>
    <xf numFmtId="0" fontId="0" fillId="32" borderId="44" xfId="0" applyNumberFormat="1" applyFont="1" applyFill="1" applyBorder="1" applyAlignment="1"/>
    <xf numFmtId="49" fontId="0" fillId="32" borderId="48" xfId="0" applyNumberFormat="1" applyFont="1" applyFill="1" applyBorder="1" applyAlignment="1"/>
    <xf numFmtId="0" fontId="0" fillId="32" borderId="46" xfId="0" applyNumberFormat="1" applyFont="1" applyFill="1" applyBorder="1" applyAlignment="1"/>
    <xf numFmtId="49" fontId="0" fillId="32" borderId="49" xfId="0" applyNumberFormat="1" applyFont="1" applyFill="1" applyBorder="1" applyAlignment="1"/>
    <xf numFmtId="0" fontId="0" fillId="32" borderId="51" xfId="0" applyNumberFormat="1" applyFont="1" applyFill="1" applyBorder="1" applyAlignment="1"/>
    <xf numFmtId="167" fontId="0" fillId="32" borderId="42" xfId="0" applyNumberFormat="1" applyFont="1" applyFill="1" applyBorder="1" applyAlignment="1"/>
    <xf numFmtId="49" fontId="0" fillId="0" borderId="22" xfId="0" applyNumberFormat="1" applyFont="1" applyFill="1" applyBorder="1" applyAlignment="1"/>
    <xf numFmtId="49" fontId="0" fillId="0" borderId="22" xfId="0" applyNumberFormat="1" applyFont="1" applyFill="1" applyBorder="1" applyAlignment="1">
      <alignment horizont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34" xfId="0" applyNumberFormat="1" applyFont="1" applyFill="1" applyBorder="1" applyAlignment="1">
      <alignment horizontal="center"/>
    </xf>
    <xf numFmtId="49" fontId="0" fillId="0" borderId="30" xfId="0" applyNumberFormat="1" applyFont="1" applyFill="1" applyBorder="1" applyAlignment="1"/>
    <xf numFmtId="164" fontId="0" fillId="0" borderId="30" xfId="0" applyNumberFormat="1" applyFont="1" applyFill="1" applyBorder="1" applyAlignment="1"/>
    <xf numFmtId="0" fontId="0" fillId="0" borderId="31" xfId="0" applyFont="1" applyFill="1" applyBorder="1" applyAlignment="1">
      <alignment horizontal="center"/>
    </xf>
    <xf numFmtId="49" fontId="0" fillId="0" borderId="26" xfId="0" applyNumberFormat="1" applyFont="1" applyFill="1" applyBorder="1" applyAlignment="1">
      <alignment horizontal="center"/>
    </xf>
    <xf numFmtId="49" fontId="0" fillId="0" borderId="18" xfId="0" applyNumberFormat="1" applyFont="1" applyFill="1" applyBorder="1" applyAlignment="1"/>
    <xf numFmtId="164" fontId="0" fillId="0" borderId="18" xfId="0" applyNumberFormat="1" applyFont="1" applyFill="1" applyBorder="1" applyAlignment="1"/>
    <xf numFmtId="0" fontId="0" fillId="0" borderId="32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right"/>
    </xf>
    <xf numFmtId="49" fontId="0" fillId="0" borderId="32" xfId="0" applyNumberFormat="1" applyFont="1" applyFill="1" applyBorder="1" applyAlignment="1">
      <alignment horizontal="center"/>
    </xf>
    <xf numFmtId="2" fontId="0" fillId="0" borderId="18" xfId="0" applyNumberFormat="1" applyFont="1" applyFill="1" applyBorder="1" applyAlignment="1"/>
    <xf numFmtId="1" fontId="0" fillId="0" borderId="18" xfId="0" applyNumberFormat="1" applyFont="1" applyFill="1" applyBorder="1" applyAlignment="1"/>
    <xf numFmtId="0" fontId="0" fillId="0" borderId="18" xfId="0" applyNumberFormat="1" applyFont="1" applyFill="1" applyBorder="1" applyAlignment="1"/>
    <xf numFmtId="0" fontId="0" fillId="0" borderId="18" xfId="0" applyFont="1" applyFill="1" applyBorder="1" applyAlignment="1">
      <alignment horizontal="center"/>
    </xf>
    <xf numFmtId="49" fontId="0" fillId="0" borderId="18" xfId="0" applyNumberFormat="1" applyFont="1" applyFill="1" applyBorder="1" applyAlignment="1">
      <alignment horizontal="right"/>
    </xf>
    <xf numFmtId="49" fontId="0" fillId="0" borderId="18" xfId="0" applyNumberFormat="1" applyFont="1" applyFill="1" applyBorder="1" applyAlignment="1">
      <alignment horizontal="center"/>
    </xf>
    <xf numFmtId="49" fontId="0" fillId="0" borderId="18" xfId="0" applyNumberFormat="1" applyFont="1" applyFill="1" applyBorder="1" applyAlignment="1">
      <alignment horizontal="left"/>
    </xf>
    <xf numFmtId="169" fontId="0" fillId="0" borderId="18" xfId="0" applyNumberFormat="1" applyFont="1" applyFill="1" applyBorder="1" applyAlignment="1"/>
    <xf numFmtId="0" fontId="0" fillId="0" borderId="21" xfId="0" applyFont="1" applyFill="1" applyBorder="1" applyAlignment="1"/>
    <xf numFmtId="49" fontId="0" fillId="0" borderId="21" xfId="0" applyNumberFormat="1" applyFont="1" applyFill="1" applyBorder="1" applyAlignment="1">
      <alignment horizontal="right"/>
    </xf>
    <xf numFmtId="169" fontId="0" fillId="0" borderId="21" xfId="0" applyNumberFormat="1" applyFont="1" applyFill="1" applyBorder="1" applyAlignment="1"/>
    <xf numFmtId="0" fontId="0" fillId="0" borderId="33" xfId="0" applyFont="1" applyFill="1" applyBorder="1" applyAlignment="1"/>
    <xf numFmtId="1" fontId="0" fillId="0" borderId="30" xfId="0" applyNumberFormat="1" applyFont="1" applyFill="1" applyBorder="1" applyAlignment="1"/>
    <xf numFmtId="49" fontId="0" fillId="0" borderId="31" xfId="0" applyNumberFormat="1" applyFont="1" applyFill="1" applyBorder="1" applyAlignment="1">
      <alignment horizontal="center"/>
    </xf>
    <xf numFmtId="49" fontId="0" fillId="0" borderId="35" xfId="0" applyNumberFormat="1" applyFont="1" applyFill="1" applyBorder="1" applyAlignment="1">
      <alignment horizontal="center"/>
    </xf>
    <xf numFmtId="49" fontId="0" fillId="0" borderId="21" xfId="0" applyNumberFormat="1" applyFont="1" applyFill="1" applyBorder="1" applyAlignment="1"/>
    <xf numFmtId="0" fontId="0" fillId="0" borderId="33" xfId="0" applyFont="1" applyFill="1" applyBorder="1" applyAlignment="1">
      <alignment horizontal="center"/>
    </xf>
    <xf numFmtId="49" fontId="0" fillId="0" borderId="26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/>
    <xf numFmtId="0" fontId="0" fillId="0" borderId="21" xfId="0" applyNumberFormat="1" applyFont="1" applyFill="1" applyBorder="1" applyAlignment="1"/>
    <xf numFmtId="49" fontId="0" fillId="0" borderId="33" xfId="0" applyNumberFormat="1" applyFont="1" applyFill="1" applyBorder="1" applyAlignment="1">
      <alignment horizontal="center"/>
    </xf>
    <xf numFmtId="0" fontId="0" fillId="0" borderId="24" xfId="0" applyFont="1" applyFill="1" applyBorder="1" applyAlignment="1"/>
    <xf numFmtId="49" fontId="0" fillId="0" borderId="30" xfId="0" applyNumberFormat="1" applyFont="1" applyFill="1" applyBorder="1" applyAlignment="1">
      <alignment horizontal="left"/>
    </xf>
    <xf numFmtId="0" fontId="0" fillId="0" borderId="31" xfId="0" applyFont="1" applyFill="1" applyBorder="1" applyAlignment="1"/>
    <xf numFmtId="0" fontId="0" fillId="0" borderId="32" xfId="0" applyFont="1" applyFill="1" applyBorder="1" applyAlignment="1"/>
    <xf numFmtId="49" fontId="0" fillId="0" borderId="21" xfId="0" applyNumberFormat="1" applyFont="1" applyFill="1" applyBorder="1" applyAlignment="1">
      <alignment horizontal="left"/>
    </xf>
    <xf numFmtId="0" fontId="0" fillId="0" borderId="31" xfId="0" applyFont="1" applyFill="1" applyBorder="1" applyAlignment="1">
      <alignment horizontal="right"/>
    </xf>
    <xf numFmtId="0" fontId="0" fillId="0" borderId="26" xfId="0" applyFont="1" applyFill="1" applyBorder="1" applyAlignment="1"/>
    <xf numFmtId="167" fontId="0" fillId="0" borderId="32" xfId="0" applyNumberFormat="1" applyFont="1" applyFill="1" applyBorder="1" applyAlignment="1"/>
    <xf numFmtId="0" fontId="0" fillId="0" borderId="32" xfId="0" applyNumberFormat="1" applyFont="1" applyFill="1" applyBorder="1" applyAlignment="1"/>
    <xf numFmtId="164" fontId="0" fillId="0" borderId="24" xfId="0" applyNumberFormat="1" applyFont="1" applyFill="1" applyBorder="1" applyAlignment="1"/>
    <xf numFmtId="0" fontId="0" fillId="0" borderId="25" xfId="0" applyFont="1" applyFill="1" applyBorder="1" applyAlignment="1"/>
    <xf numFmtId="0" fontId="0" fillId="14" borderId="28" xfId="0" applyFont="1" applyFill="1" applyBorder="1" applyAlignment="1">
      <alignment wrapText="1"/>
    </xf>
    <xf numFmtId="172" fontId="0" fillId="14" borderId="27" xfId="0" applyNumberFormat="1" applyFont="1" applyFill="1" applyBorder="1" applyAlignment="1">
      <alignment horizontal="right" wrapText="1"/>
    </xf>
    <xf numFmtId="0" fontId="0" fillId="12" borderId="28" xfId="0" applyFont="1" applyFill="1" applyBorder="1" applyAlignment="1"/>
    <xf numFmtId="164" fontId="0" fillId="0" borderId="44" xfId="0" applyNumberFormat="1" applyFont="1" applyFill="1" applyBorder="1" applyAlignment="1"/>
    <xf numFmtId="172" fontId="0" fillId="12" borderId="64" xfId="1" applyNumberFormat="1" applyFont="1" applyFill="1" applyBorder="1" applyAlignment="1"/>
    <xf numFmtId="164" fontId="0" fillId="30" borderId="28" xfId="0" applyNumberFormat="1" applyFont="1" applyFill="1" applyBorder="1" applyAlignment="1">
      <alignment horizontal="right"/>
    </xf>
    <xf numFmtId="49" fontId="0" fillId="0" borderId="65" xfId="0" applyNumberFormat="1" applyFont="1" applyFill="1" applyBorder="1" applyAlignment="1"/>
    <xf numFmtId="0" fontId="0" fillId="0" borderId="51" xfId="0" applyFont="1" applyFill="1" applyBorder="1" applyAlignment="1"/>
    <xf numFmtId="49" fontId="0" fillId="0" borderId="67" xfId="0" applyNumberFormat="1" applyFont="1" applyFill="1" applyBorder="1" applyAlignment="1">
      <alignment horizontal="center"/>
    </xf>
    <xf numFmtId="0" fontId="0" fillId="0" borderId="50" xfId="0" applyFont="1" applyFill="1" applyBorder="1" applyAlignment="1"/>
    <xf numFmtId="49" fontId="4" fillId="0" borderId="22" xfId="0" applyNumberFormat="1" applyFont="1" applyFill="1" applyBorder="1" applyAlignment="1"/>
    <xf numFmtId="49" fontId="0" fillId="0" borderId="23" xfId="0" applyNumberFormat="1" applyFont="1" applyFill="1" applyBorder="1" applyAlignment="1"/>
    <xf numFmtId="0" fontId="0" fillId="0" borderId="30" xfId="0" applyNumberFormat="1" applyFont="1" applyFill="1" applyBorder="1" applyAlignment="1"/>
    <xf numFmtId="168" fontId="0" fillId="0" borderId="30" xfId="0" applyNumberFormat="1" applyFont="1" applyFill="1" applyBorder="1" applyAlignment="1"/>
    <xf numFmtId="167" fontId="0" fillId="0" borderId="30" xfId="0" applyNumberFormat="1" applyFont="1" applyFill="1" applyBorder="1" applyAlignment="1"/>
    <xf numFmtId="2" fontId="0" fillId="0" borderId="31" xfId="0" applyNumberFormat="1" applyFont="1" applyFill="1" applyBorder="1" applyAlignment="1"/>
    <xf numFmtId="168" fontId="0" fillId="0" borderId="18" xfId="0" applyNumberFormat="1" applyFont="1" applyFill="1" applyBorder="1" applyAlignment="1"/>
    <xf numFmtId="167" fontId="0" fillId="0" borderId="18" xfId="0" applyNumberFormat="1" applyFont="1" applyFill="1" applyBorder="1" applyAlignment="1"/>
    <xf numFmtId="2" fontId="0" fillId="0" borderId="32" xfId="0" applyNumberFormat="1" applyFont="1" applyFill="1" applyBorder="1" applyAlignment="1"/>
    <xf numFmtId="168" fontId="0" fillId="0" borderId="21" xfId="0" applyNumberFormat="1" applyFont="1" applyFill="1" applyBorder="1" applyAlignment="1"/>
    <xf numFmtId="167" fontId="0" fillId="0" borderId="21" xfId="0" applyNumberFormat="1" applyFont="1" applyFill="1" applyBorder="1" applyAlignment="1"/>
    <xf numFmtId="2" fontId="0" fillId="0" borderId="33" xfId="0" applyNumberFormat="1" applyFont="1" applyFill="1" applyBorder="1" applyAlignment="1"/>
    <xf numFmtId="2" fontId="0" fillId="0" borderId="22" xfId="0" applyNumberFormat="1" applyFont="1" applyFill="1" applyBorder="1" applyAlignment="1"/>
    <xf numFmtId="49" fontId="0" fillId="0" borderId="34" xfId="0" applyNumberFormat="1" applyFont="1" applyFill="1" applyBorder="1" applyAlignment="1"/>
    <xf numFmtId="167" fontId="0" fillId="0" borderId="31" xfId="0" applyNumberFormat="1" applyFont="1" applyFill="1" applyBorder="1" applyAlignment="1"/>
    <xf numFmtId="49" fontId="0" fillId="0" borderId="26" xfId="0" applyNumberFormat="1" applyFont="1" applyFill="1" applyBorder="1" applyAlignment="1"/>
    <xf numFmtId="49" fontId="0" fillId="0" borderId="35" xfId="0" applyNumberFormat="1" applyFont="1" applyFill="1" applyBorder="1" applyAlignment="1"/>
    <xf numFmtId="167" fontId="0" fillId="0" borderId="33" xfId="0" applyNumberFormat="1" applyFont="1" applyFill="1" applyBorder="1" applyAlignment="1"/>
    <xf numFmtId="49" fontId="0" fillId="0" borderId="44" xfId="0" applyNumberFormat="1" applyFont="1" applyFill="1" applyBorder="1" applyAlignment="1"/>
    <xf numFmtId="167" fontId="0" fillId="0" borderId="44" xfId="0" applyNumberFormat="1" applyFont="1" applyFill="1" applyBorder="1" applyAlignment="1"/>
    <xf numFmtId="0" fontId="0" fillId="0" borderId="68" xfId="0" applyFont="1" applyBorder="1" applyAlignment="1"/>
    <xf numFmtId="49" fontId="4" fillId="0" borderId="69" xfId="0" applyNumberFormat="1" applyFont="1" applyBorder="1" applyAlignment="1"/>
    <xf numFmtId="49" fontId="0" fillId="0" borderId="71" xfId="0" applyNumberFormat="1" applyFont="1" applyBorder="1" applyAlignment="1"/>
    <xf numFmtId="49" fontId="0" fillId="10" borderId="72" xfId="0" applyNumberFormat="1" applyFont="1" applyFill="1" applyBorder="1" applyAlignment="1"/>
    <xf numFmtId="49" fontId="0" fillId="10" borderId="73" xfId="0" applyNumberFormat="1" applyFont="1" applyFill="1" applyBorder="1" applyAlignment="1"/>
    <xf numFmtId="167" fontId="0" fillId="0" borderId="75" xfId="0" applyNumberFormat="1" applyFont="1" applyBorder="1" applyAlignment="1"/>
    <xf numFmtId="0" fontId="0" fillId="0" borderId="76" xfId="0" applyNumberFormat="1" applyFont="1" applyBorder="1" applyAlignment="1"/>
    <xf numFmtId="167" fontId="0" fillId="0" borderId="77" xfId="0" applyNumberFormat="1" applyFont="1" applyBorder="1" applyAlignment="1"/>
    <xf numFmtId="167" fontId="0" fillId="0" borderId="79" xfId="0" applyNumberFormat="1" applyFont="1" applyBorder="1" applyAlignment="1"/>
    <xf numFmtId="167" fontId="0" fillId="0" borderId="82" xfId="0" applyNumberFormat="1" applyFont="1" applyBorder="1" applyAlignment="1"/>
    <xf numFmtId="0" fontId="0" fillId="0" borderId="47" xfId="0" applyFont="1" applyBorder="1" applyAlignment="1"/>
    <xf numFmtId="49" fontId="4" fillId="0" borderId="69" xfId="0" applyNumberFormat="1" applyFont="1" applyFill="1" applyBorder="1" applyAlignment="1"/>
    <xf numFmtId="49" fontId="0" fillId="0" borderId="71" xfId="0" applyNumberFormat="1" applyFont="1" applyFill="1" applyBorder="1" applyAlignment="1"/>
    <xf numFmtId="0" fontId="0" fillId="0" borderId="74" xfId="0" applyNumberFormat="1" applyFont="1" applyFill="1" applyBorder="1" applyAlignment="1"/>
    <xf numFmtId="167" fontId="0" fillId="0" borderId="75" xfId="0" applyNumberFormat="1" applyFont="1" applyFill="1" applyBorder="1" applyAlignment="1"/>
    <xf numFmtId="0" fontId="0" fillId="0" borderId="76" xfId="0" applyNumberFormat="1" applyFont="1" applyFill="1" applyBorder="1" applyAlignment="1"/>
    <xf numFmtId="167" fontId="0" fillId="0" borderId="77" xfId="0" applyNumberFormat="1" applyFont="1" applyFill="1" applyBorder="1" applyAlignment="1"/>
    <xf numFmtId="0" fontId="0" fillId="0" borderId="78" xfId="0" applyNumberFormat="1" applyFont="1" applyFill="1" applyBorder="1" applyAlignment="1"/>
    <xf numFmtId="167" fontId="0" fillId="0" borderId="79" xfId="0" applyNumberFormat="1" applyFont="1" applyFill="1" applyBorder="1" applyAlignment="1"/>
    <xf numFmtId="167" fontId="0" fillId="0" borderId="82" xfId="0" applyNumberFormat="1" applyFont="1" applyFill="1" applyBorder="1" applyAlignment="1"/>
    <xf numFmtId="0" fontId="0" fillId="0" borderId="83" xfId="0" applyNumberFormat="1" applyFont="1" applyFill="1" applyBorder="1" applyAlignment="1"/>
    <xf numFmtId="49" fontId="0" fillId="0" borderId="84" xfId="0" applyNumberFormat="1" applyFont="1" applyFill="1" applyBorder="1" applyAlignment="1"/>
    <xf numFmtId="0" fontId="0" fillId="0" borderId="84" xfId="0" applyNumberFormat="1" applyFont="1" applyFill="1" applyBorder="1" applyAlignment="1"/>
    <xf numFmtId="167" fontId="0" fillId="0" borderId="84" xfId="0" applyNumberFormat="1" applyFont="1" applyFill="1" applyBorder="1" applyAlignment="1"/>
    <xf numFmtId="0" fontId="0" fillId="0" borderId="54" xfId="0" applyFont="1" applyFill="1" applyBorder="1" applyAlignment="1"/>
    <xf numFmtId="0" fontId="0" fillId="0" borderId="55" xfId="0" applyFont="1" applyFill="1" applyBorder="1" applyAlignment="1"/>
    <xf numFmtId="0" fontId="0" fillId="0" borderId="74" xfId="0" applyNumberFormat="1" applyFont="1" applyBorder="1" applyAlignment="1"/>
    <xf numFmtId="0" fontId="0" fillId="0" borderId="78" xfId="0" applyNumberFormat="1" applyFont="1" applyBorder="1" applyAlignment="1"/>
    <xf numFmtId="0" fontId="9" fillId="0" borderId="18" xfId="0" applyFont="1" applyBorder="1" applyAlignment="1"/>
    <xf numFmtId="49" fontId="9" fillId="23" borderId="52" xfId="0" applyNumberFormat="1" applyFont="1" applyFill="1" applyBorder="1" applyAlignment="1"/>
    <xf numFmtId="49" fontId="0" fillId="23" borderId="87" xfId="0" applyNumberFormat="1" applyFont="1" applyFill="1" applyBorder="1" applyAlignment="1"/>
    <xf numFmtId="49" fontId="9" fillId="23" borderId="87" xfId="0" applyNumberFormat="1" applyFont="1" applyFill="1" applyBorder="1" applyAlignment="1"/>
    <xf numFmtId="49" fontId="9" fillId="0" borderId="35" xfId="0" applyNumberFormat="1" applyFont="1" applyBorder="1" applyAlignment="1"/>
    <xf numFmtId="49" fontId="9" fillId="23" borderId="88" xfId="0" applyNumberFormat="1" applyFont="1" applyFill="1" applyBorder="1" applyAlignment="1"/>
    <xf numFmtId="49" fontId="0" fillId="23" borderId="88" xfId="0" applyNumberFormat="1" applyFont="1" applyFill="1" applyBorder="1" applyAlignment="1"/>
    <xf numFmtId="49" fontId="3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165" fontId="0" fillId="0" borderId="6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wrapText="1"/>
    </xf>
    <xf numFmtId="165" fontId="0" fillId="0" borderId="16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165" fontId="0" fillId="0" borderId="17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166" fontId="0" fillId="0" borderId="6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165" fontId="0" fillId="0" borderId="5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/>
    </xf>
    <xf numFmtId="2" fontId="0" fillId="0" borderId="17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172" fontId="0" fillId="0" borderId="6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 wrapText="1"/>
    </xf>
    <xf numFmtId="172" fontId="10" fillId="0" borderId="16" xfId="0" applyNumberFormat="1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0" xfId="0" applyNumberFormat="1" applyFont="1" applyFill="1" applyAlignment="1"/>
    <xf numFmtId="168" fontId="10" fillId="0" borderId="62" xfId="0" applyNumberFormat="1" applyFont="1" applyFill="1" applyBorder="1" applyAlignment="1">
      <alignment horizontal="center" vertical="center"/>
    </xf>
    <xf numFmtId="172" fontId="10" fillId="0" borderId="62" xfId="0" applyNumberFormat="1" applyFont="1" applyFill="1" applyBorder="1" applyAlignment="1">
      <alignment horizontal="center" vertical="center"/>
    </xf>
    <xf numFmtId="165" fontId="0" fillId="0" borderId="62" xfId="0" applyNumberFormat="1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left" vertical="center" wrapText="1"/>
    </xf>
    <xf numFmtId="172" fontId="0" fillId="0" borderId="17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10" fontId="4" fillId="0" borderId="3" xfId="0" applyNumberFormat="1" applyFont="1" applyFill="1" applyBorder="1" applyAlignment="1">
      <alignment horizontal="center" vertical="center"/>
    </xf>
    <xf numFmtId="170" fontId="4" fillId="0" borderId="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49" fontId="0" fillId="33" borderId="6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4" fillId="2" borderId="49" xfId="0" applyNumberFormat="1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49" fontId="9" fillId="2" borderId="61" xfId="0" applyNumberFormat="1" applyFont="1" applyFill="1" applyBorder="1" applyAlignment="1">
      <alignment vertical="center" wrapText="1"/>
    </xf>
    <xf numFmtId="0" fontId="0" fillId="0" borderId="61" xfId="0" applyFont="1" applyBorder="1" applyAlignment="1"/>
    <xf numFmtId="49" fontId="0" fillId="0" borderId="61" xfId="0" applyNumberFormat="1" applyFont="1" applyFill="1" applyBorder="1" applyAlignment="1">
      <alignment horizontal="center" vertical="center"/>
    </xf>
    <xf numFmtId="49" fontId="9" fillId="2" borderId="61" xfId="0" applyNumberFormat="1" applyFont="1" applyFill="1" applyBorder="1" applyAlignment="1">
      <alignment horizontal="left" vertical="center" wrapText="1"/>
    </xf>
    <xf numFmtId="0" fontId="0" fillId="0" borderId="61" xfId="0" applyNumberFormat="1" applyFont="1" applyBorder="1" applyAlignment="1"/>
    <xf numFmtId="0" fontId="9" fillId="0" borderId="61" xfId="0" applyNumberFormat="1" applyFont="1" applyBorder="1" applyAlignment="1">
      <alignment horizontal="center" vertical="center"/>
    </xf>
    <xf numFmtId="49" fontId="9" fillId="2" borderId="61" xfId="0" applyNumberFormat="1" applyFont="1" applyFill="1" applyBorder="1" applyAlignment="1">
      <alignment horizontal="center" vertical="center"/>
    </xf>
    <xf numFmtId="0" fontId="0" fillId="0" borderId="61" xfId="0" applyNumberFormat="1" applyFont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/>
    <xf numFmtId="49" fontId="10" fillId="0" borderId="34" xfId="0" applyNumberFormat="1" applyFont="1" applyFill="1" applyBorder="1" applyAlignment="1"/>
    <xf numFmtId="49" fontId="0" fillId="0" borderId="30" xfId="0" applyNumberFormat="1" applyFont="1" applyFill="1" applyBorder="1" applyAlignment="1">
      <alignment wrapText="1"/>
    </xf>
    <xf numFmtId="169" fontId="0" fillId="0" borderId="30" xfId="0" applyNumberFormat="1" applyFont="1" applyFill="1" applyBorder="1" applyAlignment="1"/>
    <xf numFmtId="49" fontId="10" fillId="0" borderId="26" xfId="0" applyNumberFormat="1" applyFont="1" applyFill="1" applyBorder="1" applyAlignment="1"/>
    <xf numFmtId="49" fontId="10" fillId="0" borderId="18" xfId="0" applyNumberFormat="1" applyFont="1" applyFill="1" applyBorder="1" applyAlignment="1"/>
    <xf numFmtId="167" fontId="0" fillId="0" borderId="22" xfId="0" applyNumberFormat="1" applyFont="1" applyFill="1" applyBorder="1" applyAlignment="1"/>
    <xf numFmtId="0" fontId="9" fillId="0" borderId="17" xfId="0" applyFont="1" applyFill="1" applyBorder="1" applyAlignment="1">
      <alignment horizontal="center" vertical="center"/>
    </xf>
    <xf numFmtId="49" fontId="9" fillId="23" borderId="53" xfId="0" applyNumberFormat="1" applyFont="1" applyFill="1" applyBorder="1" applyAlignment="1"/>
    <xf numFmtId="49" fontId="9" fillId="0" borderId="18" xfId="0" applyNumberFormat="1" applyFont="1" applyFill="1" applyBorder="1" applyAlignment="1"/>
    <xf numFmtId="49" fontId="3" fillId="2" borderId="15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71" fontId="0" fillId="0" borderId="21" xfId="0" applyNumberFormat="1" applyFont="1" applyFill="1" applyBorder="1" applyAlignment="1"/>
    <xf numFmtId="0" fontId="0" fillId="2" borderId="49" xfId="0" applyFont="1" applyFill="1" applyBorder="1" applyAlignment="1"/>
    <xf numFmtId="0" fontId="0" fillId="0" borderId="95" xfId="0" applyNumberFormat="1" applyFont="1" applyBorder="1" applyAlignment="1"/>
    <xf numFmtId="49" fontId="9" fillId="2" borderId="6" xfId="0" applyNumberFormat="1" applyFont="1" applyFill="1" applyBorder="1" applyAlignment="1">
      <alignment horizontal="left" vertical="center" wrapText="1"/>
    </xf>
    <xf numFmtId="49" fontId="9" fillId="2" borderId="16" xfId="0" applyNumberFormat="1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vertical="center" wrapText="1"/>
    </xf>
    <xf numFmtId="49" fontId="0" fillId="26" borderId="22" xfId="0" applyNumberFormat="1" applyFont="1" applyFill="1" applyBorder="1" applyAlignment="1">
      <alignment horizontal="left" vertical="center" wrapText="1"/>
    </xf>
    <xf numFmtId="49" fontId="9" fillId="2" borderId="16" xfId="0" applyNumberFormat="1" applyFont="1" applyFill="1" applyBorder="1" applyAlignment="1">
      <alignment horizontal="center" vertical="center"/>
    </xf>
    <xf numFmtId="49" fontId="9" fillId="0" borderId="34" xfId="0" applyNumberFormat="1" applyFont="1" applyFill="1" applyBorder="1" applyAlignment="1"/>
    <xf numFmtId="49" fontId="9" fillId="0" borderId="26" xfId="0" applyNumberFormat="1" applyFont="1" applyFill="1" applyBorder="1" applyAlignment="1"/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168" fontId="0" fillId="2" borderId="6" xfId="0" applyNumberFormat="1" applyFont="1" applyFill="1" applyBorder="1" applyAlignment="1">
      <alignment horizontal="center" vertical="center"/>
    </xf>
    <xf numFmtId="173" fontId="0" fillId="2" borderId="16" xfId="0" applyNumberFormat="1" applyFont="1" applyFill="1" applyBorder="1" applyAlignment="1">
      <alignment horizontal="center" vertical="center"/>
    </xf>
    <xf numFmtId="0" fontId="0" fillId="0" borderId="44" xfId="0" applyFont="1" applyBorder="1" applyAlignment="1"/>
    <xf numFmtId="0" fontId="0" fillId="0" borderId="46" xfId="0" applyNumberFormat="1" applyFont="1" applyFill="1" applyBorder="1" applyAlignment="1"/>
    <xf numFmtId="164" fontId="0" fillId="0" borderId="26" xfId="0" applyNumberFormat="1" applyFont="1" applyBorder="1" applyAlignment="1"/>
    <xf numFmtId="49" fontId="4" fillId="2" borderId="59" xfId="0" applyNumberFormat="1" applyFont="1" applyFill="1" applyBorder="1" applyAlignment="1">
      <alignment horizontal="center" vertical="center"/>
    </xf>
    <xf numFmtId="49" fontId="4" fillId="2" borderId="59" xfId="0" applyNumberFormat="1" applyFont="1" applyFill="1" applyBorder="1" applyAlignment="1">
      <alignment horizontal="center" vertical="center" wrapText="1"/>
    </xf>
    <xf numFmtId="0" fontId="4" fillId="2" borderId="96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 wrapText="1"/>
    </xf>
    <xf numFmtId="164" fontId="4" fillId="2" borderId="96" xfId="0" applyNumberFormat="1" applyFont="1" applyFill="1" applyBorder="1" applyAlignment="1">
      <alignment horizontal="center" vertical="center"/>
    </xf>
    <xf numFmtId="165" fontId="0" fillId="2" borderId="96" xfId="0" applyNumberFormat="1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left" vertical="center" wrapText="1"/>
    </xf>
    <xf numFmtId="0" fontId="0" fillId="2" borderId="62" xfId="0" applyFont="1" applyFill="1" applyBorder="1" applyAlignment="1">
      <alignment horizontal="center" vertical="center"/>
    </xf>
    <xf numFmtId="165" fontId="0" fillId="2" borderId="62" xfId="0" applyNumberFormat="1" applyFont="1" applyFill="1" applyBorder="1" applyAlignment="1">
      <alignment horizontal="center" vertical="center"/>
    </xf>
    <xf numFmtId="49" fontId="4" fillId="2" borderId="97" xfId="0" applyNumberFormat="1" applyFont="1" applyFill="1" applyBorder="1" applyAlignment="1">
      <alignment horizontal="center" vertical="center" wrapText="1"/>
    </xf>
    <xf numFmtId="49" fontId="4" fillId="2" borderId="97" xfId="0" applyNumberFormat="1" applyFont="1" applyFill="1" applyBorder="1" applyAlignment="1">
      <alignment horizontal="center" vertical="center"/>
    </xf>
    <xf numFmtId="0" fontId="9" fillId="2" borderId="98" xfId="0" applyFont="1" applyFill="1" applyBorder="1" applyAlignment="1">
      <alignment horizontal="center" vertical="center"/>
    </xf>
    <xf numFmtId="0" fontId="9" fillId="0" borderId="0" xfId="0" applyFont="1" applyAlignment="1"/>
    <xf numFmtId="171" fontId="0" fillId="2" borderId="16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/>
    </xf>
    <xf numFmtId="169" fontId="0" fillId="0" borderId="0" xfId="0" applyNumberFormat="1" applyFont="1" applyAlignment="1"/>
    <xf numFmtId="169" fontId="0" fillId="2" borderId="16" xfId="0" applyNumberFormat="1" applyFont="1" applyFill="1" applyBorder="1" applyAlignment="1">
      <alignment horizontal="center" vertical="center"/>
    </xf>
    <xf numFmtId="0" fontId="9" fillId="2" borderId="99" xfId="0" applyNumberFormat="1" applyFont="1" applyFill="1" applyBorder="1" applyAlignment="1">
      <alignment horizontal="center" vertical="center"/>
    </xf>
    <xf numFmtId="2" fontId="0" fillId="2" borderId="16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center"/>
    </xf>
    <xf numFmtId="168" fontId="0" fillId="0" borderId="0" xfId="0" applyNumberFormat="1" applyFont="1" applyAlignment="1"/>
    <xf numFmtId="168" fontId="0" fillId="2" borderId="62" xfId="0" applyNumberFormat="1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49" fontId="0" fillId="0" borderId="30" xfId="0" applyNumberFormat="1" applyFont="1" applyBorder="1" applyAlignment="1">
      <alignment wrapText="1"/>
    </xf>
    <xf numFmtId="49" fontId="0" fillId="0" borderId="34" xfId="0" applyNumberFormat="1" applyFont="1" applyBorder="1" applyAlignment="1">
      <alignment vertical="center"/>
    </xf>
    <xf numFmtId="49" fontId="0" fillId="0" borderId="18" xfId="0" applyNumberFormat="1" applyFont="1" applyBorder="1" applyAlignment="1">
      <alignment wrapText="1"/>
    </xf>
    <xf numFmtId="49" fontId="0" fillId="0" borderId="30" xfId="0" applyNumberFormat="1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49" fontId="0" fillId="0" borderId="26" xfId="0" applyNumberFormat="1" applyFont="1" applyBorder="1" applyAlignment="1">
      <alignment horizontal="left" vertical="center"/>
    </xf>
    <xf numFmtId="0" fontId="0" fillId="0" borderId="21" xfId="0" applyNumberFormat="1" applyFont="1" applyBorder="1" applyAlignment="1">
      <alignment horizontal="right"/>
    </xf>
    <xf numFmtId="166" fontId="0" fillId="2" borderId="17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0" xfId="0" applyNumberFormat="1" applyFont="1" applyFill="1" applyAlignment="1"/>
    <xf numFmtId="0" fontId="9" fillId="0" borderId="62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2" fontId="0" fillId="2" borderId="100" xfId="0" applyNumberFormat="1" applyFont="1" applyFill="1" applyBorder="1" applyAlignment="1">
      <alignment horizontal="center" vertical="center"/>
    </xf>
    <xf numFmtId="2" fontId="0" fillId="2" borderId="101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left" vertical="center" wrapText="1"/>
    </xf>
    <xf numFmtId="2" fontId="0" fillId="0" borderId="0" xfId="0" applyNumberFormat="1" applyFont="1" applyAlignment="1"/>
    <xf numFmtId="1" fontId="0" fillId="0" borderId="0" xfId="0" applyNumberFormat="1" applyFont="1" applyAlignment="1"/>
    <xf numFmtId="49" fontId="4" fillId="2" borderId="1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166" fontId="0" fillId="0" borderId="0" xfId="0" applyNumberFormat="1" applyFont="1" applyAlignment="1"/>
    <xf numFmtId="0" fontId="0" fillId="33" borderId="0" xfId="0" applyNumberFormat="1" applyFont="1" applyFill="1" applyAlignment="1"/>
    <xf numFmtId="0" fontId="0" fillId="33" borderId="0" xfId="0" applyFont="1" applyFill="1" applyAlignment="1"/>
    <xf numFmtId="0" fontId="9" fillId="2" borderId="16" xfId="0" applyNumberFormat="1" applyFont="1" applyFill="1" applyBorder="1" applyAlignment="1">
      <alignment horizontal="center" vertical="center"/>
    </xf>
    <xf numFmtId="174" fontId="0" fillId="2" borderId="16" xfId="0" applyNumberFormat="1" applyFont="1" applyFill="1" applyBorder="1" applyAlignment="1">
      <alignment horizontal="center" vertical="center"/>
    </xf>
    <xf numFmtId="171" fontId="0" fillId="0" borderId="0" xfId="0" applyNumberFormat="1" applyFont="1" applyAlignment="1"/>
    <xf numFmtId="2" fontId="0" fillId="2" borderId="6" xfId="0" applyNumberFormat="1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6" xfId="0" applyNumberFormat="1" applyFont="1" applyFill="1" applyBorder="1" applyAlignment="1">
      <alignment horizontal="center" vertical="center"/>
    </xf>
    <xf numFmtId="165" fontId="4" fillId="3" borderId="60" xfId="0" applyNumberFormat="1" applyFont="1" applyFill="1" applyBorder="1" applyAlignment="1">
      <alignment horizontal="center" vertical="center"/>
    </xf>
    <xf numFmtId="0" fontId="0" fillId="2" borderId="62" xfId="0" applyFont="1" applyFill="1" applyBorder="1" applyAlignment="1">
      <alignment horizontal="left" vertical="center" wrapText="1"/>
    </xf>
    <xf numFmtId="165" fontId="9" fillId="2" borderId="17" xfId="0" applyNumberFormat="1" applyFont="1" applyFill="1" applyBorder="1" applyAlignment="1">
      <alignment horizontal="left" vertical="center"/>
    </xf>
    <xf numFmtId="165" fontId="9" fillId="2" borderId="17" xfId="0" applyNumberFormat="1" applyFont="1" applyFill="1" applyBorder="1" applyAlignment="1">
      <alignment horizontal="center" vertical="center"/>
    </xf>
    <xf numFmtId="2" fontId="0" fillId="2" borderId="17" xfId="0" applyNumberFormat="1" applyFont="1" applyFill="1" applyBorder="1" applyAlignment="1">
      <alignment horizontal="center" vertical="center"/>
    </xf>
    <xf numFmtId="0" fontId="9" fillId="0" borderId="61" xfId="0" applyNumberFormat="1" applyFont="1" applyBorder="1" applyAlignment="1">
      <alignment horizontal="center"/>
    </xf>
    <xf numFmtId="0" fontId="4" fillId="0" borderId="0" xfId="0" applyNumberFormat="1" applyFont="1" applyAlignment="1"/>
    <xf numFmtId="0" fontId="9" fillId="0" borderId="0" xfId="0" applyNumberFormat="1" applyFont="1" applyAlignment="1"/>
    <xf numFmtId="49" fontId="0" fillId="33" borderId="61" xfId="0" applyNumberFormat="1" applyFont="1" applyFill="1" applyBorder="1" applyAlignment="1"/>
    <xf numFmtId="0" fontId="0" fillId="35" borderId="61" xfId="0" applyFont="1" applyFill="1" applyBorder="1" applyAlignment="1">
      <alignment horizontal="center" vertical="center"/>
    </xf>
    <xf numFmtId="0" fontId="0" fillId="36" borderId="49" xfId="0" applyFont="1" applyFill="1" applyBorder="1" applyAlignment="1"/>
    <xf numFmtId="0" fontId="9" fillId="0" borderId="93" xfId="0" applyFont="1" applyFill="1" applyBorder="1" applyAlignment="1">
      <alignment wrapText="1"/>
    </xf>
    <xf numFmtId="0" fontId="0" fillId="35" borderId="61" xfId="0" applyFont="1" applyFill="1" applyBorder="1" applyAlignment="1"/>
    <xf numFmtId="0" fontId="0" fillId="35" borderId="49" xfId="0" applyFont="1" applyFill="1" applyBorder="1" applyAlignment="1"/>
    <xf numFmtId="0" fontId="9" fillId="0" borderId="56" xfId="0" applyFont="1" applyFill="1" applyBorder="1" applyAlignment="1">
      <alignment wrapText="1"/>
    </xf>
    <xf numFmtId="49" fontId="9" fillId="0" borderId="61" xfId="0" applyNumberFormat="1" applyFont="1" applyFill="1" applyBorder="1" applyAlignment="1">
      <alignment vertical="center" wrapText="1"/>
    </xf>
    <xf numFmtId="0" fontId="9" fillId="35" borderId="49" xfId="0" applyFont="1" applyFill="1" applyBorder="1" applyAlignment="1"/>
    <xf numFmtId="0" fontId="9" fillId="0" borderId="94" xfId="0" applyFont="1" applyFill="1" applyBorder="1" applyAlignment="1">
      <alignment wrapText="1"/>
    </xf>
    <xf numFmtId="0" fontId="0" fillId="37" borderId="49" xfId="0" applyFont="1" applyFill="1" applyBorder="1" applyAlignment="1"/>
    <xf numFmtId="0" fontId="9" fillId="0" borderId="18" xfId="0" applyFont="1" applyBorder="1" applyAlignment="1">
      <alignment wrapText="1"/>
    </xf>
    <xf numFmtId="0" fontId="0" fillId="38" borderId="49" xfId="0" applyFont="1" applyFill="1" applyBorder="1" applyAlignment="1"/>
    <xf numFmtId="0" fontId="14" fillId="0" borderId="61" xfId="2" applyFont="1" applyBorder="1" applyAlignment="1">
      <alignment vertical="center" wrapText="1"/>
    </xf>
    <xf numFmtId="0" fontId="14" fillId="0" borderId="46" xfId="2" applyFont="1" applyAlignment="1">
      <alignment vertical="center" wrapText="1"/>
    </xf>
    <xf numFmtId="0" fontId="9" fillId="35" borderId="61" xfId="0" applyFont="1" applyFill="1" applyBorder="1" applyAlignment="1"/>
    <xf numFmtId="0" fontId="9" fillId="35" borderId="61" xfId="0" applyNumberFormat="1" applyFont="1" applyFill="1" applyBorder="1" applyAlignment="1"/>
    <xf numFmtId="49" fontId="9" fillId="0" borderId="61" xfId="0" applyNumberFormat="1" applyFont="1" applyFill="1" applyBorder="1" applyAlignment="1">
      <alignment horizontal="left" vertical="center" wrapText="1"/>
    </xf>
    <xf numFmtId="0" fontId="0" fillId="0" borderId="49" xfId="0" applyFont="1" applyBorder="1" applyAlignment="1">
      <alignment wrapText="1"/>
    </xf>
    <xf numFmtId="0" fontId="17" fillId="35" borderId="61" xfId="0" applyNumberFormat="1" applyFont="1" applyFill="1" applyBorder="1" applyAlignment="1"/>
    <xf numFmtId="0" fontId="0" fillId="35" borderId="61" xfId="0" applyNumberFormat="1" applyFont="1" applyFill="1" applyBorder="1" applyAlignment="1"/>
    <xf numFmtId="0" fontId="9" fillId="0" borderId="85" xfId="0" applyNumberFormat="1" applyFont="1" applyBorder="1" applyAlignment="1">
      <alignment horizontal="center" vertical="center"/>
    </xf>
    <xf numFmtId="0" fontId="9" fillId="0" borderId="105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vertical="center" wrapText="1"/>
    </xf>
    <xf numFmtId="0" fontId="0" fillId="0" borderId="105" xfId="0" applyNumberFormat="1" applyFont="1" applyBorder="1" applyAlignment="1"/>
    <xf numFmtId="0" fontId="9" fillId="0" borderId="61" xfId="0" applyNumberFormat="1" applyFont="1" applyFill="1" applyBorder="1" applyAlignment="1">
      <alignment horizontal="center" vertical="center" wrapText="1"/>
    </xf>
    <xf numFmtId="0" fontId="9" fillId="0" borderId="61" xfId="0" applyNumberFormat="1" applyFont="1" applyBorder="1" applyAlignment="1"/>
    <xf numFmtId="0" fontId="9" fillId="0" borderId="61" xfId="0" applyNumberFormat="1" applyFont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vertical="center" wrapText="1"/>
    </xf>
    <xf numFmtId="0" fontId="9" fillId="0" borderId="105" xfId="0" applyNumberFormat="1" applyFont="1" applyBorder="1" applyAlignment="1">
      <alignment horizontal="center"/>
    </xf>
    <xf numFmtId="0" fontId="9" fillId="0" borderId="107" xfId="0" applyNumberFormat="1" applyFont="1" applyBorder="1" applyAlignment="1">
      <alignment horizontal="center"/>
    </xf>
    <xf numFmtId="0" fontId="18" fillId="35" borderId="61" xfId="0" applyFont="1" applyFill="1" applyBorder="1" applyAlignment="1"/>
    <xf numFmtId="49" fontId="9" fillId="2" borderId="61" xfId="0" applyNumberFormat="1" applyFont="1" applyFill="1" applyBorder="1" applyAlignment="1">
      <alignment horizontal="center" vertical="center" wrapText="1"/>
    </xf>
    <xf numFmtId="0" fontId="0" fillId="0" borderId="61" xfId="0" applyNumberFormat="1" applyFont="1" applyFill="1" applyBorder="1" applyAlignment="1"/>
    <xf numFmtId="0" fontId="9" fillId="0" borderId="61" xfId="0" applyNumberFormat="1" applyFont="1" applyBorder="1" applyAlignment="1">
      <alignment horizontal="center"/>
    </xf>
    <xf numFmtId="0" fontId="9" fillId="0" borderId="61" xfId="0" applyFont="1" applyFill="1" applyBorder="1" applyAlignment="1"/>
    <xf numFmtId="0" fontId="17" fillId="0" borderId="61" xfId="0" applyNumberFormat="1" applyFont="1" applyFill="1" applyBorder="1" applyAlignment="1"/>
    <xf numFmtId="2" fontId="0" fillId="2" borderId="100" xfId="0" applyNumberFormat="1" applyFont="1" applyFill="1" applyBorder="1" applyAlignment="1">
      <alignment horizontal="center" vertical="center"/>
    </xf>
    <xf numFmtId="2" fontId="0" fillId="2" borderId="101" xfId="0" applyNumberFormat="1" applyFont="1" applyFill="1" applyBorder="1" applyAlignment="1">
      <alignment horizontal="center" vertical="center"/>
    </xf>
    <xf numFmtId="49" fontId="9" fillId="23" borderId="53" xfId="0" applyNumberFormat="1" applyFont="1" applyFill="1" applyBorder="1" applyAlignment="1">
      <alignment wrapText="1"/>
    </xf>
    <xf numFmtId="0" fontId="14" fillId="0" borderId="61" xfId="2" applyFont="1" applyFill="1" applyBorder="1" applyAlignment="1">
      <alignment vertical="center" wrapText="1"/>
    </xf>
    <xf numFmtId="49" fontId="9" fillId="2" borderId="62" xfId="0" applyNumberFormat="1" applyFont="1" applyFill="1" applyBorder="1" applyAlignment="1">
      <alignment horizontal="center" vertical="center"/>
    </xf>
    <xf numFmtId="49" fontId="0" fillId="2" borderId="62" xfId="0" applyNumberFormat="1" applyFont="1" applyFill="1" applyBorder="1" applyAlignment="1">
      <alignment horizontal="left" vertical="center" wrapText="1"/>
    </xf>
    <xf numFmtId="49" fontId="0" fillId="2" borderId="62" xfId="0" applyNumberFormat="1" applyFont="1" applyFill="1" applyBorder="1" applyAlignment="1">
      <alignment horizontal="center" vertical="center"/>
    </xf>
    <xf numFmtId="0" fontId="0" fillId="2" borderId="62" xfId="0" applyNumberFormat="1" applyFont="1" applyFill="1" applyBorder="1" applyAlignment="1">
      <alignment horizontal="center" vertical="center"/>
    </xf>
    <xf numFmtId="164" fontId="0" fillId="2" borderId="62" xfId="0" applyNumberFormat="1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 wrapText="1"/>
    </xf>
    <xf numFmtId="0" fontId="9" fillId="0" borderId="61" xfId="0" applyNumberFormat="1" applyFont="1" applyFill="1" applyBorder="1" applyAlignment="1">
      <alignment vertical="center" wrapText="1"/>
    </xf>
    <xf numFmtId="0" fontId="9" fillId="35" borderId="61" xfId="0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9" fillId="35" borderId="107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107" xfId="0" applyNumberFormat="1" applyFont="1" applyFill="1" applyBorder="1" applyAlignment="1">
      <alignment horizontal="center" vertical="center" wrapText="1"/>
    </xf>
    <xf numFmtId="0" fontId="9" fillId="0" borderId="26" xfId="0" applyFont="1" applyBorder="1" applyAlignment="1"/>
    <xf numFmtId="0" fontId="9" fillId="0" borderId="108" xfId="0" applyFont="1" applyFill="1" applyBorder="1" applyAlignment="1">
      <alignment horizontal="center" vertical="center"/>
    </xf>
    <xf numFmtId="0" fontId="9" fillId="0" borderId="99" xfId="0" applyFont="1" applyFill="1" applyBorder="1" applyAlignment="1">
      <alignment horizontal="left" vertical="center" wrapText="1"/>
    </xf>
    <xf numFmtId="0" fontId="9" fillId="0" borderId="61" xfId="0" applyNumberFormat="1" applyFont="1" applyFill="1" applyBorder="1" applyAlignment="1"/>
    <xf numFmtId="0" fontId="9" fillId="0" borderId="109" xfId="0" applyFont="1" applyFill="1" applyBorder="1" applyAlignment="1">
      <alignment horizontal="center" vertical="center"/>
    </xf>
    <xf numFmtId="49" fontId="9" fillId="2" borderId="108" xfId="0" applyNumberFormat="1" applyFont="1" applyFill="1" applyBorder="1" applyAlignment="1">
      <alignment horizontal="center" vertical="center"/>
    </xf>
    <xf numFmtId="165" fontId="4" fillId="7" borderId="60" xfId="0" applyNumberFormat="1" applyFont="1" applyFill="1" applyBorder="1" applyAlignment="1">
      <alignment horizontal="center" vertical="center"/>
    </xf>
    <xf numFmtId="0" fontId="0" fillId="2" borderId="61" xfId="0" applyNumberFormat="1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172" fontId="0" fillId="0" borderId="62" xfId="0" applyNumberFormat="1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168" fontId="10" fillId="0" borderId="61" xfId="0" applyNumberFormat="1" applyFont="1" applyFill="1" applyBorder="1" applyAlignment="1">
      <alignment horizontal="center" vertical="center"/>
    </xf>
    <xf numFmtId="172" fontId="10" fillId="0" borderId="61" xfId="0" applyNumberFormat="1" applyFont="1" applyFill="1" applyBorder="1" applyAlignment="1">
      <alignment horizontal="center" vertical="center"/>
    </xf>
    <xf numFmtId="165" fontId="0" fillId="0" borderId="61" xfId="0" applyNumberFormat="1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left" vertical="center" wrapText="1"/>
    </xf>
    <xf numFmtId="172" fontId="0" fillId="0" borderId="61" xfId="0" applyNumberFormat="1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49" fontId="9" fillId="2" borderId="62" xfId="0" applyNumberFormat="1" applyFont="1" applyFill="1" applyBorder="1" applyAlignment="1">
      <alignment horizontal="left" vertical="center" wrapText="1"/>
    </xf>
    <xf numFmtId="44" fontId="0" fillId="33" borderId="61" xfId="1" applyFont="1" applyFill="1" applyBorder="1" applyAlignment="1">
      <alignment horizontal="center" vertical="center"/>
    </xf>
    <xf numFmtId="44" fontId="0" fillId="0" borderId="61" xfId="1" applyFont="1" applyBorder="1" applyAlignment="1"/>
    <xf numFmtId="44" fontId="0" fillId="0" borderId="61" xfId="1" applyFont="1" applyFill="1" applyBorder="1" applyAlignment="1"/>
    <xf numFmtId="44" fontId="0" fillId="0" borderId="61" xfId="1" applyFont="1" applyFill="1" applyBorder="1" applyAlignment="1">
      <alignment wrapText="1"/>
    </xf>
    <xf numFmtId="44" fontId="9" fillId="0" borderId="61" xfId="1" applyFont="1" applyFill="1" applyBorder="1" applyAlignment="1">
      <alignment vertical="center" wrapText="1"/>
    </xf>
    <xf numFmtId="44" fontId="9" fillId="0" borderId="61" xfId="1" applyFont="1" applyBorder="1" applyAlignment="1">
      <alignment horizontal="center"/>
    </xf>
    <xf numFmtId="44" fontId="9" fillId="0" borderId="107" xfId="1" applyFont="1" applyFill="1" applyBorder="1" applyAlignment="1">
      <alignment horizontal="center"/>
    </xf>
    <xf numFmtId="44" fontId="9" fillId="2" borderId="61" xfId="1" applyFont="1" applyFill="1" applyBorder="1" applyAlignment="1">
      <alignment vertical="center" wrapText="1"/>
    </xf>
    <xf numFmtId="44" fontId="9" fillId="0" borderId="107" xfId="1" applyFont="1" applyBorder="1" applyAlignment="1">
      <alignment horizontal="center"/>
    </xf>
    <xf numFmtId="44" fontId="0" fillId="0" borderId="0" xfId="1" applyFont="1" applyAlignment="1"/>
    <xf numFmtId="49" fontId="4" fillId="26" borderId="22" xfId="0" applyNumberFormat="1" applyFont="1" applyFill="1" applyBorder="1" applyAlignment="1">
      <alignment horizontal="center" vertical="center" wrapText="1"/>
    </xf>
    <xf numFmtId="49" fontId="0" fillId="26" borderId="22" xfId="0" applyNumberFormat="1" applyFont="1" applyFill="1" applyBorder="1" applyAlignment="1">
      <alignment horizontal="left" wrapText="1"/>
    </xf>
    <xf numFmtId="49" fontId="9" fillId="26" borderId="22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wrapText="1"/>
    </xf>
    <xf numFmtId="44" fontId="9" fillId="0" borderId="61" xfId="1" applyFont="1" applyBorder="1" applyAlignment="1"/>
    <xf numFmtId="0" fontId="9" fillId="35" borderId="61" xfId="0" applyNumberFormat="1" applyFont="1" applyFill="1" applyBorder="1" applyAlignment="1">
      <alignment horizontal="center"/>
    </xf>
    <xf numFmtId="44" fontId="9" fillId="0" borderId="61" xfId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0" borderId="69" xfId="0" applyNumberFormat="1" applyFont="1" applyFill="1" applyBorder="1" applyAlignment="1">
      <alignment horizontal="center"/>
    </xf>
    <xf numFmtId="17" fontId="0" fillId="2" borderId="16" xfId="0" applyNumberFormat="1" applyFont="1" applyFill="1" applyBorder="1" applyAlignment="1">
      <alignment horizontal="center" vertical="center"/>
    </xf>
    <xf numFmtId="0" fontId="9" fillId="0" borderId="61" xfId="0" applyNumberFormat="1" applyFont="1" applyBorder="1" applyAlignment="1">
      <alignment horizontal="center"/>
    </xf>
    <xf numFmtId="49" fontId="0" fillId="2" borderId="52" xfId="0" applyNumberFormat="1" applyFont="1" applyFill="1" applyBorder="1" applyAlignment="1">
      <alignment wrapText="1"/>
    </xf>
    <xf numFmtId="49" fontId="0" fillId="2" borderId="52" xfId="0" applyNumberFormat="1" applyFont="1" applyFill="1" applyBorder="1" applyAlignment="1">
      <alignment vertical="center" wrapText="1"/>
    </xf>
    <xf numFmtId="49" fontId="0" fillId="26" borderId="52" xfId="0" applyNumberFormat="1" applyFont="1" applyFill="1" applyBorder="1" applyAlignment="1">
      <alignment horizontal="left" vertical="center" wrapText="1"/>
    </xf>
    <xf numFmtId="49" fontId="0" fillId="2" borderId="52" xfId="0" applyNumberFormat="1" applyFont="1" applyFill="1" applyBorder="1" applyAlignment="1">
      <alignment horizontal="center" vertical="center"/>
    </xf>
    <xf numFmtId="164" fontId="0" fillId="26" borderId="52" xfId="0" applyNumberFormat="1" applyFont="1" applyFill="1" applyBorder="1" applyAlignment="1">
      <alignment vertical="center"/>
    </xf>
    <xf numFmtId="0" fontId="0" fillId="2" borderId="61" xfId="0" applyFont="1" applyFill="1" applyBorder="1" applyAlignment="1">
      <alignment wrapText="1"/>
    </xf>
    <xf numFmtId="49" fontId="0" fillId="2" borderId="61" xfId="0" applyNumberFormat="1" applyFont="1" applyFill="1" applyBorder="1" applyAlignment="1">
      <alignment vertical="center" wrapText="1"/>
    </xf>
    <xf numFmtId="49" fontId="0" fillId="26" borderId="61" xfId="0" applyNumberFormat="1" applyFont="1" applyFill="1" applyBorder="1" applyAlignment="1">
      <alignment wrapText="1"/>
    </xf>
    <xf numFmtId="164" fontId="0" fillId="26" borderId="61" xfId="0" applyNumberFormat="1" applyFont="1" applyFill="1" applyBorder="1" applyAlignment="1"/>
    <xf numFmtId="49" fontId="9" fillId="26" borderId="61" xfId="0" applyNumberFormat="1" applyFont="1" applyFill="1" applyBorder="1" applyAlignment="1">
      <alignment wrapText="1"/>
    </xf>
    <xf numFmtId="164" fontId="0" fillId="26" borderId="61" xfId="0" applyNumberFormat="1" applyFont="1" applyFill="1" applyBorder="1" applyAlignment="1">
      <alignment vertical="center"/>
    </xf>
    <xf numFmtId="49" fontId="9" fillId="26" borderId="61" xfId="0" applyNumberFormat="1" applyFont="1" applyFill="1" applyBorder="1" applyAlignment="1">
      <alignment horizontal="left" vertical="center" wrapText="1"/>
    </xf>
    <xf numFmtId="0" fontId="0" fillId="0" borderId="61" xfId="0" applyNumberFormat="1" applyFont="1" applyBorder="1" applyAlignment="1">
      <alignment wrapText="1"/>
    </xf>
    <xf numFmtId="49" fontId="4" fillId="2" borderId="26" xfId="0" applyNumberFormat="1" applyFont="1" applyFill="1" applyBorder="1" applyAlignment="1">
      <alignment vertical="center" wrapText="1"/>
    </xf>
    <xf numFmtId="0" fontId="19" fillId="0" borderId="61" xfId="0" applyFont="1" applyFill="1" applyBorder="1" applyAlignment="1"/>
    <xf numFmtId="0" fontId="9" fillId="0" borderId="61" xfId="0" applyNumberFormat="1" applyFont="1" applyBorder="1" applyAlignment="1">
      <alignment horizontal="center"/>
    </xf>
    <xf numFmtId="0" fontId="9" fillId="0" borderId="105" xfId="0" applyNumberFormat="1" applyFont="1" applyBorder="1" applyAlignment="1">
      <alignment horizontal="center"/>
    </xf>
    <xf numFmtId="0" fontId="0" fillId="0" borderId="49" xfId="0" applyFont="1" applyFill="1" applyBorder="1" applyAlignment="1"/>
    <xf numFmtId="0" fontId="9" fillId="0" borderId="18" xfId="0" applyFont="1" applyFill="1" applyBorder="1" applyAlignment="1">
      <alignment wrapText="1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44" fontId="0" fillId="0" borderId="61" xfId="0" applyNumberFormat="1" applyFont="1" applyBorder="1" applyAlignment="1"/>
    <xf numFmtId="44" fontId="0" fillId="39" borderId="61" xfId="0" applyNumberFormat="1" applyFont="1" applyFill="1" applyBorder="1" applyAlignment="1"/>
    <xf numFmtId="44" fontId="9" fillId="0" borderId="105" xfId="0" applyNumberFormat="1" applyFont="1" applyBorder="1" applyAlignment="1">
      <alignment horizontal="center"/>
    </xf>
    <xf numFmtId="44" fontId="9" fillId="39" borderId="61" xfId="0" applyNumberFormat="1" applyFont="1" applyFill="1" applyBorder="1" applyAlignment="1">
      <alignment horizontal="center"/>
    </xf>
    <xf numFmtId="44" fontId="9" fillId="0" borderId="61" xfId="0" applyNumberFormat="1" applyFont="1" applyBorder="1" applyAlignment="1">
      <alignment horizontal="center"/>
    </xf>
    <xf numFmtId="0" fontId="18" fillId="0" borderId="85" xfId="8" applyNumberFormat="1" applyFont="1" applyBorder="1" applyAlignment="1">
      <alignment vertical="center" wrapText="1"/>
    </xf>
    <xf numFmtId="0" fontId="20" fillId="0" borderId="46" xfId="8" applyNumberFormat="1" applyFont="1" applyBorder="1" applyAlignment="1">
      <alignment vertical="center" wrapText="1"/>
    </xf>
    <xf numFmtId="0" fontId="20" fillId="0" borderId="61" xfId="8" applyNumberFormat="1" applyFont="1" applyBorder="1" applyAlignment="1">
      <alignment vertical="center" wrapText="1"/>
    </xf>
    <xf numFmtId="0" fontId="18" fillId="0" borderId="61" xfId="8" applyNumberFormat="1" applyFont="1" applyBorder="1" applyAlignment="1">
      <alignment horizontal="center" vertical="center" wrapText="1"/>
    </xf>
    <xf numFmtId="0" fontId="0" fillId="0" borderId="61" xfId="0" applyFont="1" applyFill="1" applyBorder="1" applyAlignment="1"/>
    <xf numFmtId="0" fontId="9" fillId="0" borderId="49" xfId="0" applyFont="1" applyFill="1" applyBorder="1" applyAlignment="1"/>
    <xf numFmtId="0" fontId="18" fillId="0" borderId="61" xfId="0" applyNumberFormat="1" applyFont="1" applyFill="1" applyBorder="1" applyAlignment="1"/>
    <xf numFmtId="0" fontId="18" fillId="0" borderId="61" xfId="0" applyFont="1" applyFill="1" applyBorder="1" applyAlignment="1"/>
    <xf numFmtId="0" fontId="18" fillId="0" borderId="61" xfId="0" applyFont="1" applyFill="1" applyBorder="1" applyAlignment="1">
      <alignment vertical="center" wrapText="1"/>
    </xf>
    <xf numFmtId="49" fontId="18" fillId="33" borderId="61" xfId="0" applyNumberFormat="1" applyFont="1" applyFill="1" applyBorder="1" applyAlignment="1"/>
    <xf numFmtId="0" fontId="18" fillId="35" borderId="61" xfId="0" applyFont="1" applyFill="1" applyBorder="1" applyAlignment="1">
      <alignment horizontal="center" vertical="center"/>
    </xf>
    <xf numFmtId="0" fontId="18" fillId="0" borderId="61" xfId="0" applyFont="1" applyBorder="1" applyAlignment="1"/>
    <xf numFmtId="0" fontId="18" fillId="35" borderId="61" xfId="0" applyNumberFormat="1" applyFont="1" applyFill="1" applyBorder="1" applyAlignment="1"/>
    <xf numFmtId="0" fontId="18" fillId="0" borderId="61" xfId="0" applyNumberFormat="1" applyFont="1" applyBorder="1" applyAlignment="1"/>
    <xf numFmtId="0" fontId="18" fillId="0" borderId="61" xfId="0" applyNumberFormat="1" applyFont="1" applyBorder="1" applyAlignment="1">
      <alignment horizontal="center"/>
    </xf>
    <xf numFmtId="0" fontId="18" fillId="2" borderId="61" xfId="0" applyFont="1" applyFill="1" applyBorder="1" applyAlignment="1">
      <alignment vertical="center" wrapText="1"/>
    </xf>
    <xf numFmtId="0" fontId="18" fillId="0" borderId="107" xfId="0" applyNumberFormat="1" applyFont="1" applyBorder="1" applyAlignment="1">
      <alignment horizontal="center"/>
    </xf>
    <xf numFmtId="0" fontId="18" fillId="0" borderId="0" xfId="0" applyNumberFormat="1" applyFont="1" applyAlignment="1"/>
    <xf numFmtId="0" fontId="18" fillId="0" borderId="61" xfId="0" applyFont="1" applyFill="1" applyBorder="1" applyAlignment="1">
      <alignment wrapText="1"/>
    </xf>
    <xf numFmtId="0" fontId="18" fillId="0" borderId="107" xfId="0" applyNumberFormat="1" applyFont="1" applyFill="1" applyBorder="1" applyAlignment="1">
      <alignment horizontal="right"/>
    </xf>
    <xf numFmtId="0" fontId="18" fillId="0" borderId="61" xfId="0" applyNumberFormat="1" applyFont="1" applyFill="1" applyBorder="1" applyAlignment="1">
      <alignment horizontal="right"/>
    </xf>
    <xf numFmtId="44" fontId="0" fillId="39" borderId="61" xfId="1" applyFont="1" applyFill="1" applyBorder="1" applyAlignment="1"/>
    <xf numFmtId="49" fontId="4" fillId="2" borderId="1" xfId="0" applyNumberFormat="1" applyFont="1" applyFill="1" applyBorder="1" applyAlignment="1">
      <alignment horizontal="right" vertical="center"/>
    </xf>
    <xf numFmtId="10" fontId="4" fillId="2" borderId="2" xfId="0" applyNumberFormat="1" applyFont="1" applyFill="1" applyBorder="1" applyAlignment="1">
      <alignment horizontal="right" vertical="center"/>
    </xf>
    <xf numFmtId="10" fontId="4" fillId="2" borderId="3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right" vertical="center"/>
    </xf>
    <xf numFmtId="49" fontId="4" fillId="4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right" vertical="center"/>
    </xf>
    <xf numFmtId="0" fontId="4" fillId="4" borderId="15" xfId="0" applyFont="1" applyFill="1" applyBorder="1" applyAlignment="1">
      <alignment horizontal="right" vertical="center"/>
    </xf>
    <xf numFmtId="49" fontId="4" fillId="5" borderId="13" xfId="0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right" vertical="center"/>
    </xf>
    <xf numFmtId="0" fontId="4" fillId="5" borderId="14" xfId="0" applyFont="1" applyFill="1" applyBorder="1" applyAlignment="1">
      <alignment horizontal="right" vertical="center"/>
    </xf>
    <xf numFmtId="0" fontId="4" fillId="5" borderId="15" xfId="0" applyFont="1" applyFill="1" applyBorder="1" applyAlignment="1">
      <alignment horizontal="right" vertical="center"/>
    </xf>
    <xf numFmtId="49" fontId="4" fillId="6" borderId="13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right" vertical="center"/>
    </xf>
    <xf numFmtId="0" fontId="4" fillId="6" borderId="14" xfId="0" applyFont="1" applyFill="1" applyBorder="1" applyAlignment="1">
      <alignment horizontal="right" vertical="center"/>
    </xf>
    <xf numFmtId="0" fontId="4" fillId="6" borderId="15" xfId="0" applyFont="1" applyFill="1" applyBorder="1" applyAlignment="1">
      <alignment horizontal="right" vertical="center"/>
    </xf>
    <xf numFmtId="49" fontId="4" fillId="7" borderId="13" xfId="0" applyNumberFormat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49" fontId="4" fillId="7" borderId="13" xfId="0" applyNumberFormat="1" applyFont="1" applyFill="1" applyBorder="1" applyAlignment="1">
      <alignment horizontal="right" vertical="center"/>
    </xf>
    <xf numFmtId="49" fontId="4" fillId="7" borderId="14" xfId="0" applyNumberFormat="1" applyFont="1" applyFill="1" applyBorder="1" applyAlignment="1">
      <alignment horizontal="right" vertical="center"/>
    </xf>
    <xf numFmtId="49" fontId="4" fillId="7" borderId="15" xfId="0" applyNumberFormat="1" applyFont="1" applyFill="1" applyBorder="1" applyAlignment="1">
      <alignment horizontal="right" vertical="center"/>
    </xf>
    <xf numFmtId="49" fontId="4" fillId="2" borderId="13" xfId="0" applyNumberFormat="1" applyFont="1" applyFill="1" applyBorder="1" applyAlignment="1">
      <alignment horizontal="right" vertical="center"/>
    </xf>
    <xf numFmtId="49" fontId="4" fillId="2" borderId="14" xfId="0" applyNumberFormat="1" applyFont="1" applyFill="1" applyBorder="1" applyAlignment="1">
      <alignment horizontal="right" vertical="center"/>
    </xf>
    <xf numFmtId="49" fontId="4" fillId="2" borderId="15" xfId="0" applyNumberFormat="1" applyFont="1" applyFill="1" applyBorder="1" applyAlignment="1">
      <alignment horizontal="right" vertical="center"/>
    </xf>
    <xf numFmtId="49" fontId="5" fillId="2" borderId="13" xfId="0" applyNumberFormat="1" applyFont="1" applyFill="1" applyBorder="1" applyAlignment="1">
      <alignment horizontal="right" vertical="center"/>
    </xf>
    <xf numFmtId="49" fontId="5" fillId="2" borderId="14" xfId="0" applyNumberFormat="1" applyFont="1" applyFill="1" applyBorder="1" applyAlignment="1">
      <alignment horizontal="right" vertical="center"/>
    </xf>
    <xf numFmtId="49" fontId="5" fillId="2" borderId="15" xfId="0" applyNumberFormat="1" applyFont="1" applyFill="1" applyBorder="1" applyAlignment="1">
      <alignment horizontal="right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right" vertical="center"/>
    </xf>
    <xf numFmtId="0" fontId="4" fillId="7" borderId="15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7" borderId="103" xfId="0" applyFont="1" applyFill="1" applyBorder="1" applyAlignment="1">
      <alignment horizontal="right" vertical="center"/>
    </xf>
    <xf numFmtId="0" fontId="4" fillId="7" borderId="104" xfId="0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7" borderId="102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10" fontId="4" fillId="0" borderId="2" xfId="0" applyNumberFormat="1" applyFont="1" applyFill="1" applyBorder="1" applyAlignment="1">
      <alignment horizontal="right" vertical="center"/>
    </xf>
    <xf numFmtId="10" fontId="4" fillId="0" borderId="3" xfId="0" applyNumberFormat="1" applyFont="1" applyFill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4" fillId="3" borderId="102" xfId="0" applyNumberFormat="1" applyFont="1" applyFill="1" applyBorder="1" applyAlignment="1">
      <alignment horizontal="right" vertical="center"/>
    </xf>
    <xf numFmtId="0" fontId="4" fillId="3" borderId="103" xfId="0" applyFont="1" applyFill="1" applyBorder="1" applyAlignment="1">
      <alignment horizontal="right" vertical="center"/>
    </xf>
    <xf numFmtId="0" fontId="4" fillId="3" borderId="104" xfId="0" applyFont="1" applyFill="1" applyBorder="1" applyAlignment="1">
      <alignment horizontal="right" vertical="center"/>
    </xf>
    <xf numFmtId="49" fontId="4" fillId="7" borderId="103" xfId="0" applyNumberFormat="1" applyFont="1" applyFill="1" applyBorder="1" applyAlignment="1">
      <alignment horizontal="right" vertical="center"/>
    </xf>
    <xf numFmtId="49" fontId="4" fillId="7" borderId="104" xfId="0" applyNumberFormat="1" applyFont="1" applyFill="1" applyBorder="1" applyAlignment="1">
      <alignment horizontal="right" vertical="center"/>
    </xf>
    <xf numFmtId="0" fontId="0" fillId="0" borderId="61" xfId="0" applyNumberFormat="1" applyFont="1" applyBorder="1" applyAlignment="1">
      <alignment horizontal="center" vertical="center" wrapText="1"/>
    </xf>
    <xf numFmtId="0" fontId="0" fillId="33" borderId="110" xfId="0" applyNumberFormat="1" applyFont="1" applyFill="1" applyBorder="1" applyAlignment="1">
      <alignment horizontal="right" vertical="center" wrapText="1"/>
    </xf>
    <xf numFmtId="0" fontId="0" fillId="33" borderId="61" xfId="0" applyNumberFormat="1" applyFont="1" applyFill="1" applyBorder="1" applyAlignment="1">
      <alignment horizontal="right" vertical="center" wrapText="1"/>
    </xf>
    <xf numFmtId="0" fontId="0" fillId="0" borderId="110" xfId="0" applyNumberFormat="1" applyFont="1" applyFill="1" applyBorder="1" applyAlignment="1">
      <alignment horizontal="right" vertical="center" wrapText="1"/>
    </xf>
    <xf numFmtId="0" fontId="0" fillId="0" borderId="110" xfId="0" applyNumberFormat="1" applyFont="1" applyBorder="1" applyAlignment="1">
      <alignment horizontal="right" vertical="center" wrapText="1"/>
    </xf>
    <xf numFmtId="49" fontId="0" fillId="39" borderId="85" xfId="0" applyNumberFormat="1" applyFont="1" applyFill="1" applyBorder="1" applyAlignment="1">
      <alignment horizontal="center" vertical="center" wrapText="1"/>
    </xf>
    <xf numFmtId="49" fontId="0" fillId="39" borderId="64" xfId="0" applyNumberFormat="1" applyFont="1" applyFill="1" applyBorder="1" applyAlignment="1">
      <alignment horizontal="center" vertical="center" wrapText="1"/>
    </xf>
    <xf numFmtId="49" fontId="0" fillId="39" borderId="105" xfId="0" applyNumberFormat="1" applyFont="1" applyFill="1" applyBorder="1" applyAlignment="1">
      <alignment horizontal="center" vertical="center" wrapText="1"/>
    </xf>
    <xf numFmtId="0" fontId="9" fillId="39" borderId="85" xfId="0" applyNumberFormat="1" applyFont="1" applyFill="1" applyBorder="1" applyAlignment="1">
      <alignment horizontal="center" vertical="center" wrapText="1"/>
    </xf>
    <xf numFmtId="0" fontId="9" fillId="39" borderId="64" xfId="0" applyNumberFormat="1" applyFont="1" applyFill="1" applyBorder="1" applyAlignment="1">
      <alignment horizontal="center" vertical="center" wrapText="1"/>
    </xf>
    <xf numFmtId="0" fontId="9" fillId="39" borderId="105" xfId="0" applyNumberFormat="1" applyFont="1" applyFill="1" applyBorder="1" applyAlignment="1">
      <alignment horizontal="center" vertical="center" wrapText="1"/>
    </xf>
    <xf numFmtId="0" fontId="9" fillId="39" borderId="61" xfId="0" applyNumberFormat="1" applyFont="1" applyFill="1" applyBorder="1" applyAlignment="1">
      <alignment horizontal="center" vertical="center" wrapText="1"/>
    </xf>
    <xf numFmtId="0" fontId="0" fillId="39" borderId="85" xfId="0" applyNumberFormat="1" applyFont="1" applyFill="1" applyBorder="1" applyAlignment="1">
      <alignment horizontal="center" vertical="center" wrapText="1"/>
    </xf>
    <xf numFmtId="0" fontId="0" fillId="39" borderId="64" xfId="0" applyNumberFormat="1" applyFont="1" applyFill="1" applyBorder="1" applyAlignment="1">
      <alignment horizontal="center" vertical="center" wrapText="1"/>
    </xf>
    <xf numFmtId="0" fontId="0" fillId="39" borderId="105" xfId="0" applyNumberFormat="1" applyFont="1" applyFill="1" applyBorder="1" applyAlignment="1">
      <alignment horizontal="center" vertical="center" wrapText="1"/>
    </xf>
    <xf numFmtId="0" fontId="9" fillId="0" borderId="61" xfId="0" applyNumberFormat="1" applyFont="1" applyBorder="1" applyAlignment="1">
      <alignment horizontal="center"/>
    </xf>
    <xf numFmtId="0" fontId="9" fillId="0" borderId="106" xfId="0" applyNumberFormat="1" applyFont="1" applyBorder="1" applyAlignment="1">
      <alignment horizontal="center"/>
    </xf>
    <xf numFmtId="0" fontId="0" fillId="39" borderId="63" xfId="0" applyNumberFormat="1" applyFont="1" applyFill="1" applyBorder="1" applyAlignment="1">
      <alignment horizontal="center" vertical="center" wrapText="1"/>
    </xf>
    <xf numFmtId="0" fontId="0" fillId="39" borderId="92" xfId="0" applyNumberFormat="1" applyFont="1" applyFill="1" applyBorder="1" applyAlignment="1">
      <alignment horizontal="center" vertical="center" wrapText="1"/>
    </xf>
    <xf numFmtId="0" fontId="12" fillId="0" borderId="61" xfId="0" applyNumberFormat="1" applyFont="1" applyBorder="1" applyAlignment="1">
      <alignment horizontal="center"/>
    </xf>
    <xf numFmtId="0" fontId="9" fillId="0" borderId="85" xfId="0" applyNumberFormat="1" applyFont="1" applyBorder="1" applyAlignment="1">
      <alignment horizontal="center"/>
    </xf>
    <xf numFmtId="0" fontId="9" fillId="0" borderId="64" xfId="0" applyNumberFormat="1" applyFont="1" applyBorder="1" applyAlignment="1">
      <alignment horizontal="center"/>
    </xf>
    <xf numFmtId="0" fontId="9" fillId="0" borderId="105" xfId="0" applyNumberFormat="1" applyFont="1" applyBorder="1" applyAlignment="1">
      <alignment horizontal="center"/>
    </xf>
    <xf numFmtId="0" fontId="15" fillId="34" borderId="61" xfId="0" applyNumberFormat="1" applyFont="1" applyFill="1" applyBorder="1" applyAlignment="1">
      <alignment horizontal="center"/>
    </xf>
    <xf numFmtId="0" fontId="0" fillId="0" borderId="61" xfId="0" applyNumberFormat="1" applyFont="1" applyBorder="1" applyAlignment="1">
      <alignment horizontal="center"/>
    </xf>
    <xf numFmtId="49" fontId="0" fillId="0" borderId="23" xfId="0" applyNumberFormat="1" applyFont="1" applyBorder="1" applyAlignment="1">
      <alignment horizontal="center" wrapText="1"/>
    </xf>
    <xf numFmtId="0" fontId="0" fillId="0" borderId="24" xfId="0" applyFont="1" applyBorder="1" applyAlignment="1">
      <alignment horizontal="center" wrapText="1"/>
    </xf>
    <xf numFmtId="0" fontId="0" fillId="0" borderId="25" xfId="0" applyFont="1" applyBorder="1" applyAlignment="1">
      <alignment horizontal="center" wrapText="1"/>
    </xf>
    <xf numFmtId="49" fontId="0" fillId="21" borderId="22" xfId="0" applyNumberFormat="1" applyFont="1" applyFill="1" applyBorder="1" applyAlignment="1">
      <alignment horizontal="right"/>
    </xf>
    <xf numFmtId="0" fontId="0" fillId="21" borderId="22" xfId="0" applyFont="1" applyFill="1" applyBorder="1" applyAlignment="1">
      <alignment horizontal="right"/>
    </xf>
    <xf numFmtId="2" fontId="0" fillId="0" borderId="90" xfId="0" applyNumberFormat="1" applyFont="1" applyBorder="1" applyAlignment="1">
      <alignment horizontal="center"/>
    </xf>
    <xf numFmtId="2" fontId="0" fillId="0" borderId="89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2" fontId="0" fillId="0" borderId="63" xfId="0" applyNumberFormat="1" applyFont="1" applyBorder="1" applyAlignment="1">
      <alignment horizontal="center"/>
    </xf>
    <xf numFmtId="49" fontId="9" fillId="0" borderId="46" xfId="0" applyNumberFormat="1" applyFont="1" applyBorder="1" applyAlignment="1">
      <alignment horizontal="center"/>
    </xf>
    <xf numFmtId="49" fontId="0" fillId="0" borderId="63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 vertical="center"/>
    </xf>
    <xf numFmtId="2" fontId="0" fillId="0" borderId="92" xfId="0" applyNumberFormat="1" applyFont="1" applyBorder="1" applyAlignment="1">
      <alignment horizontal="center" vertical="center"/>
    </xf>
    <xf numFmtId="49" fontId="0" fillId="7" borderId="27" xfId="0" applyNumberFormat="1" applyFont="1" applyFill="1" applyBorder="1" applyAlignment="1">
      <alignment horizontal="right"/>
    </xf>
    <xf numFmtId="0" fontId="0" fillId="7" borderId="28" xfId="0" applyFont="1" applyFill="1" applyBorder="1" applyAlignment="1">
      <alignment horizontal="right"/>
    </xf>
    <xf numFmtId="0" fontId="0" fillId="7" borderId="29" xfId="0" applyFont="1" applyFill="1" applyBorder="1" applyAlignment="1">
      <alignment horizontal="right"/>
    </xf>
    <xf numFmtId="2" fontId="0" fillId="2" borderId="34" xfId="0" applyNumberFormat="1" applyFont="1" applyFill="1" applyBorder="1" applyAlignment="1">
      <alignment horizontal="center" vertical="center"/>
    </xf>
    <xf numFmtId="2" fontId="0" fillId="2" borderId="35" xfId="0" applyNumberFormat="1" applyFont="1" applyFill="1" applyBorder="1" applyAlignment="1">
      <alignment horizontal="center" vertical="center"/>
    </xf>
    <xf numFmtId="2" fontId="0" fillId="2" borderId="30" xfId="0" applyNumberFormat="1" applyFont="1" applyFill="1" applyBorder="1" applyAlignment="1">
      <alignment horizontal="center" vertical="center"/>
    </xf>
    <xf numFmtId="2" fontId="0" fillId="2" borderId="21" xfId="0" applyNumberFormat="1" applyFont="1" applyFill="1" applyBorder="1" applyAlignment="1">
      <alignment horizontal="center" vertical="center"/>
    </xf>
    <xf numFmtId="49" fontId="9" fillId="2" borderId="30" xfId="0" applyNumberFormat="1" applyFont="1" applyFill="1" applyBorder="1" applyAlignment="1">
      <alignment horizontal="center" vertical="center"/>
    </xf>
    <xf numFmtId="49" fontId="0" fillId="2" borderId="21" xfId="0" applyNumberFormat="1" applyFont="1" applyFill="1" applyBorder="1" applyAlignment="1">
      <alignment horizontal="center" vertical="center"/>
    </xf>
    <xf numFmtId="2" fontId="0" fillId="2" borderId="31" xfId="0" applyNumberFormat="1" applyFont="1" applyFill="1" applyBorder="1" applyAlignment="1">
      <alignment horizontal="center" vertical="center"/>
    </xf>
    <xf numFmtId="2" fontId="0" fillId="2" borderId="33" xfId="0" applyNumberFormat="1" applyFont="1" applyFill="1" applyBorder="1" applyAlignment="1">
      <alignment horizontal="center" vertical="center"/>
    </xf>
    <xf numFmtId="2" fontId="0" fillId="0" borderId="57" xfId="0" applyNumberFormat="1" applyFont="1" applyBorder="1" applyAlignment="1">
      <alignment horizontal="center"/>
    </xf>
    <xf numFmtId="2" fontId="0" fillId="0" borderId="55" xfId="0" applyNumberFormat="1" applyFont="1" applyBorder="1" applyAlignment="1">
      <alignment horizontal="center"/>
    </xf>
    <xf numFmtId="49" fontId="9" fillId="0" borderId="55" xfId="0" applyNumberFormat="1" applyFont="1" applyBorder="1" applyAlignment="1">
      <alignment horizontal="center"/>
    </xf>
    <xf numFmtId="2" fontId="0" fillId="0" borderId="91" xfId="0" applyNumberFormat="1" applyFont="1" applyBorder="1" applyAlignment="1">
      <alignment horizontal="center" vertical="center"/>
    </xf>
    <xf numFmtId="2" fontId="0" fillId="2" borderId="67" xfId="0" applyNumberFormat="1" applyFont="1" applyFill="1" applyBorder="1" applyAlignment="1">
      <alignment horizontal="center" vertical="center"/>
    </xf>
    <xf numFmtId="2" fontId="0" fillId="2" borderId="50" xfId="0" applyNumberFormat="1" applyFont="1" applyFill="1" applyBorder="1" applyAlignment="1">
      <alignment horizontal="center" vertical="center"/>
    </xf>
    <xf numFmtId="2" fontId="0" fillId="2" borderId="65" xfId="0" applyNumberFormat="1" applyFont="1" applyFill="1" applyBorder="1" applyAlignment="1">
      <alignment horizontal="center" vertical="center"/>
    </xf>
    <xf numFmtId="2" fontId="0" fillId="2" borderId="51" xfId="0" applyNumberFormat="1" applyFont="1" applyFill="1" applyBorder="1" applyAlignment="1">
      <alignment horizontal="center" vertical="center"/>
    </xf>
    <xf numFmtId="49" fontId="9" fillId="2" borderId="65" xfId="0" applyNumberFormat="1" applyFont="1" applyFill="1" applyBorder="1" applyAlignment="1">
      <alignment horizontal="center" vertical="center"/>
    </xf>
    <xf numFmtId="49" fontId="9" fillId="2" borderId="51" xfId="0" applyNumberFormat="1" applyFont="1" applyFill="1" applyBorder="1" applyAlignment="1">
      <alignment horizontal="center" vertical="center"/>
    </xf>
    <xf numFmtId="2" fontId="0" fillId="2" borderId="100" xfId="0" applyNumberFormat="1" applyFont="1" applyFill="1" applyBorder="1" applyAlignment="1">
      <alignment horizontal="center" vertical="center"/>
    </xf>
    <xf numFmtId="2" fontId="0" fillId="2" borderId="101" xfId="0" applyNumberFormat="1" applyFont="1" applyFill="1" applyBorder="1" applyAlignment="1">
      <alignment horizontal="center" vertical="center"/>
    </xf>
    <xf numFmtId="49" fontId="0" fillId="2" borderId="27" xfId="0" applyNumberFormat="1" applyFont="1" applyFill="1" applyBorder="1" applyAlignment="1">
      <alignment horizontal="center" vertical="center" wrapText="1"/>
    </xf>
    <xf numFmtId="49" fontId="0" fillId="2" borderId="28" xfId="0" applyNumberFormat="1" applyFont="1" applyFill="1" applyBorder="1" applyAlignment="1">
      <alignment horizontal="center" vertical="center" wrapText="1"/>
    </xf>
    <xf numFmtId="49" fontId="0" fillId="2" borderId="29" xfId="0" applyNumberFormat="1" applyFont="1" applyFill="1" applyBorder="1" applyAlignment="1">
      <alignment horizontal="center" vertical="center" wrapText="1"/>
    </xf>
    <xf numFmtId="49" fontId="0" fillId="2" borderId="30" xfId="0" applyNumberFormat="1" applyFont="1" applyFill="1" applyBorder="1" applyAlignment="1">
      <alignment horizontal="center" vertical="center"/>
    </xf>
    <xf numFmtId="49" fontId="0" fillId="2" borderId="23" xfId="0" applyNumberFormat="1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49" fontId="0" fillId="0" borderId="24" xfId="0" applyNumberFormat="1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49" fontId="0" fillId="0" borderId="23" xfId="0" applyNumberFormat="1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49" fontId="0" fillId="6" borderId="22" xfId="0" applyNumberFormat="1" applyFont="1" applyFill="1" applyBorder="1" applyAlignment="1">
      <alignment horizontal="right"/>
    </xf>
    <xf numFmtId="0" fontId="0" fillId="6" borderId="22" xfId="0" applyFont="1" applyFill="1" applyBorder="1" applyAlignment="1">
      <alignment horizontal="right"/>
    </xf>
    <xf numFmtId="49" fontId="0" fillId="3" borderId="22" xfId="0" applyNumberFormat="1" applyFont="1" applyFill="1" applyBorder="1" applyAlignment="1">
      <alignment horizontal="right"/>
    </xf>
    <xf numFmtId="0" fontId="0" fillId="3" borderId="22" xfId="0" applyFont="1" applyFill="1" applyBorder="1" applyAlignment="1">
      <alignment horizontal="right"/>
    </xf>
    <xf numFmtId="49" fontId="0" fillId="9" borderId="27" xfId="0" applyNumberFormat="1" applyFont="1" applyFill="1" applyBorder="1" applyAlignment="1">
      <alignment horizontal="right"/>
    </xf>
    <xf numFmtId="0" fontId="0" fillId="9" borderId="28" xfId="0" applyFont="1" applyFill="1" applyBorder="1" applyAlignment="1">
      <alignment horizontal="right"/>
    </xf>
    <xf numFmtId="0" fontId="0" fillId="9" borderId="29" xfId="0" applyFont="1" applyFill="1" applyBorder="1" applyAlignment="1">
      <alignment horizontal="right"/>
    </xf>
    <xf numFmtId="49" fontId="0" fillId="16" borderId="27" xfId="0" applyNumberFormat="1" applyFont="1" applyFill="1" applyBorder="1" applyAlignment="1">
      <alignment horizontal="right"/>
    </xf>
    <xf numFmtId="0" fontId="0" fillId="16" borderId="28" xfId="0" applyFont="1" applyFill="1" applyBorder="1" applyAlignment="1">
      <alignment horizontal="right"/>
    </xf>
    <xf numFmtId="0" fontId="0" fillId="16" borderId="29" xfId="0" applyFont="1" applyFill="1" applyBorder="1" applyAlignment="1">
      <alignment horizontal="right"/>
    </xf>
    <xf numFmtId="49" fontId="0" fillId="18" borderId="27" xfId="0" applyNumberFormat="1" applyFont="1" applyFill="1" applyBorder="1" applyAlignment="1">
      <alignment horizontal="right"/>
    </xf>
    <xf numFmtId="0" fontId="0" fillId="18" borderId="28" xfId="0" applyFont="1" applyFill="1" applyBorder="1" applyAlignment="1">
      <alignment horizontal="right"/>
    </xf>
    <xf numFmtId="0" fontId="0" fillId="18" borderId="29" xfId="0" applyFont="1" applyFill="1" applyBorder="1" applyAlignment="1">
      <alignment horizontal="right"/>
    </xf>
    <xf numFmtId="49" fontId="10" fillId="0" borderId="23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/>
    </xf>
    <xf numFmtId="49" fontId="0" fillId="7" borderId="27" xfId="0" applyNumberFormat="1" applyFont="1" applyFill="1" applyBorder="1" applyAlignment="1">
      <alignment horizontal="right" wrapText="1"/>
    </xf>
    <xf numFmtId="0" fontId="0" fillId="7" borderId="28" xfId="0" applyFont="1" applyFill="1" applyBorder="1" applyAlignment="1">
      <alignment horizontal="right" wrapText="1"/>
    </xf>
    <xf numFmtId="0" fontId="0" fillId="7" borderId="29" xfId="0" applyFont="1" applyFill="1" applyBorder="1" applyAlignment="1">
      <alignment horizontal="right" wrapText="1"/>
    </xf>
    <xf numFmtId="49" fontId="0" fillId="14" borderId="27" xfId="0" applyNumberFormat="1" applyFont="1" applyFill="1" applyBorder="1" applyAlignment="1">
      <alignment horizontal="right"/>
    </xf>
    <xf numFmtId="0" fontId="0" fillId="14" borderId="28" xfId="0" applyFont="1" applyFill="1" applyBorder="1" applyAlignment="1">
      <alignment horizontal="right"/>
    </xf>
    <xf numFmtId="0" fontId="0" fillId="14" borderId="29" xfId="0" applyFont="1" applyFill="1" applyBorder="1" applyAlignment="1">
      <alignment horizontal="right"/>
    </xf>
    <xf numFmtId="49" fontId="0" fillId="12" borderId="27" xfId="0" applyNumberFormat="1" applyFont="1" applyFill="1" applyBorder="1" applyAlignment="1">
      <alignment horizontal="right"/>
    </xf>
    <xf numFmtId="0" fontId="0" fillId="12" borderId="28" xfId="0" applyFont="1" applyFill="1" applyBorder="1" applyAlignment="1">
      <alignment horizontal="right"/>
    </xf>
    <xf numFmtId="0" fontId="0" fillId="12" borderId="29" xfId="0" applyFont="1" applyFill="1" applyBorder="1" applyAlignment="1">
      <alignment horizontal="right"/>
    </xf>
    <xf numFmtId="49" fontId="0" fillId="32" borderId="22" xfId="0" applyNumberFormat="1" applyFont="1" applyFill="1" applyBorder="1" applyAlignment="1">
      <alignment horizontal="right"/>
    </xf>
    <xf numFmtId="0" fontId="0" fillId="32" borderId="22" xfId="0" applyFont="1" applyFill="1" applyBorder="1" applyAlignment="1">
      <alignment horizontal="right"/>
    </xf>
    <xf numFmtId="49" fontId="0" fillId="32" borderId="24" xfId="0" applyNumberFormat="1" applyFont="1" applyFill="1" applyBorder="1" applyAlignment="1">
      <alignment horizontal="center"/>
    </xf>
    <xf numFmtId="0" fontId="0" fillId="32" borderId="24" xfId="0" applyFont="1" applyFill="1" applyBorder="1" applyAlignment="1">
      <alignment horizontal="center"/>
    </xf>
    <xf numFmtId="2" fontId="0" fillId="0" borderId="91" xfId="0" applyNumberFormat="1" applyFont="1" applyBorder="1" applyAlignment="1">
      <alignment horizontal="center"/>
    </xf>
    <xf numFmtId="2" fontId="0" fillId="0" borderId="92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49" fontId="9" fillId="0" borderId="70" xfId="0" applyNumberFormat="1" applyFont="1" applyFill="1" applyBorder="1" applyAlignment="1">
      <alignment horizontal="center"/>
    </xf>
    <xf numFmtId="0" fontId="0" fillId="0" borderId="70" xfId="0" applyFont="1" applyFill="1" applyBorder="1" applyAlignment="1">
      <alignment horizontal="center"/>
    </xf>
    <xf numFmtId="49" fontId="0" fillId="25" borderId="85" xfId="0" applyNumberFormat="1" applyFont="1" applyFill="1" applyBorder="1" applyAlignment="1">
      <alignment horizontal="center"/>
    </xf>
    <xf numFmtId="0" fontId="0" fillId="25" borderId="64" xfId="0" applyFont="1" applyFill="1" applyBorder="1" applyAlignment="1">
      <alignment horizontal="center"/>
    </xf>
    <xf numFmtId="0" fontId="0" fillId="25" borderId="86" xfId="0" applyFont="1" applyFill="1" applyBorder="1" applyAlignment="1">
      <alignment horizontal="center"/>
    </xf>
    <xf numFmtId="49" fontId="0" fillId="0" borderId="70" xfId="0" applyNumberFormat="1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49" fontId="0" fillId="0" borderId="70" xfId="0" applyNumberFormat="1" applyFont="1" applyFill="1" applyBorder="1" applyAlignment="1">
      <alignment horizontal="center"/>
    </xf>
    <xf numFmtId="49" fontId="0" fillId="24" borderId="27" xfId="0" applyNumberFormat="1" applyFont="1" applyFill="1" applyBorder="1" applyAlignment="1">
      <alignment horizontal="center"/>
    </xf>
    <xf numFmtId="0" fontId="0" fillId="24" borderId="28" xfId="0" applyFont="1" applyFill="1" applyBorder="1" applyAlignment="1">
      <alignment horizontal="center"/>
    </xf>
    <xf numFmtId="0" fontId="0" fillId="24" borderId="29" xfId="0" applyFont="1" applyFill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49" fontId="0" fillId="25" borderId="80" xfId="0" applyNumberFormat="1" applyFont="1" applyFill="1" applyBorder="1" applyAlignment="1">
      <alignment horizontal="center"/>
    </xf>
    <xf numFmtId="0" fontId="0" fillId="25" borderId="63" xfId="0" applyFont="1" applyFill="1" applyBorder="1" applyAlignment="1">
      <alignment horizontal="center"/>
    </xf>
    <xf numFmtId="0" fontId="0" fillId="25" borderId="81" xfId="0" applyFont="1" applyFill="1" applyBorder="1" applyAlignment="1">
      <alignment horizontal="center"/>
    </xf>
    <xf numFmtId="49" fontId="0" fillId="0" borderId="23" xfId="0" applyNumberFormat="1" applyFont="1" applyFill="1" applyBorder="1" applyAlignment="1">
      <alignment horizontal="center"/>
    </xf>
    <xf numFmtId="49" fontId="0" fillId="27" borderId="22" xfId="0" applyNumberFormat="1" applyFont="1" applyFill="1" applyBorder="1" applyAlignment="1">
      <alignment horizontal="center"/>
    </xf>
    <xf numFmtId="0" fontId="0" fillId="27" borderId="22" xfId="0" applyFont="1" applyFill="1" applyBorder="1" applyAlignment="1">
      <alignment horizontal="center"/>
    </xf>
    <xf numFmtId="49" fontId="0" fillId="0" borderId="34" xfId="0" applyNumberFormat="1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49" fontId="0" fillId="10" borderId="27" xfId="0" applyNumberFormat="1" applyFont="1" applyFill="1" applyBorder="1" applyAlignment="1">
      <alignment horizontal="center"/>
    </xf>
    <xf numFmtId="0" fontId="0" fillId="10" borderId="28" xfId="0" applyFont="1" applyFill="1" applyBorder="1" applyAlignment="1">
      <alignment horizontal="center"/>
    </xf>
    <xf numFmtId="0" fontId="0" fillId="10" borderId="29" xfId="0" applyFont="1" applyFill="1" applyBorder="1" applyAlignment="1">
      <alignment horizontal="center"/>
    </xf>
    <xf numFmtId="49" fontId="0" fillId="4" borderId="22" xfId="0" applyNumberFormat="1" applyFont="1" applyFill="1" applyBorder="1" applyAlignment="1">
      <alignment horizontal="center"/>
    </xf>
    <xf numFmtId="0" fontId="0" fillId="4" borderId="22" xfId="0" applyFont="1" applyFill="1" applyBorder="1" applyAlignment="1">
      <alignment horizontal="center"/>
    </xf>
    <xf numFmtId="49" fontId="8" fillId="28" borderId="22" xfId="0" applyNumberFormat="1" applyFont="1" applyFill="1" applyBorder="1" applyAlignment="1">
      <alignment horizontal="center"/>
    </xf>
    <xf numFmtId="0" fontId="8" fillId="28" borderId="22" xfId="0" applyFont="1" applyFill="1" applyBorder="1" applyAlignment="1">
      <alignment horizontal="center"/>
    </xf>
    <xf numFmtId="49" fontId="0" fillId="2" borderId="26" xfId="0" applyNumberFormat="1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49" fontId="0" fillId="21" borderId="27" xfId="0" applyNumberFormat="1" applyFont="1" applyFill="1" applyBorder="1" applyAlignment="1">
      <alignment horizontal="center"/>
    </xf>
    <xf numFmtId="0" fontId="0" fillId="21" borderId="28" xfId="0" applyFont="1" applyFill="1" applyBorder="1" applyAlignment="1">
      <alignment horizontal="center"/>
    </xf>
    <xf numFmtId="0" fontId="0" fillId="21" borderId="29" xfId="0" applyFont="1" applyFill="1" applyBorder="1" applyAlignment="1">
      <alignment horizontal="center"/>
    </xf>
    <xf numFmtId="49" fontId="0" fillId="2" borderId="22" xfId="0" applyNumberFormat="1" applyFont="1" applyFill="1" applyBorder="1" applyAlignment="1">
      <alignment horizontal="center" wrapText="1"/>
    </xf>
    <xf numFmtId="0" fontId="0" fillId="2" borderId="22" xfId="0" applyFont="1" applyFill="1" applyBorder="1" applyAlignment="1">
      <alignment horizontal="center" wrapText="1"/>
    </xf>
    <xf numFmtId="49" fontId="9" fillId="0" borderId="22" xfId="0" applyNumberFormat="1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49" fontId="0" fillId="0" borderId="34" xfId="0" applyNumberFormat="1" applyFont="1" applyFill="1" applyBorder="1" applyAlignment="1">
      <alignment horizontal="left"/>
    </xf>
    <xf numFmtId="0" fontId="0" fillId="0" borderId="30" xfId="0" applyFont="1" applyFill="1" applyBorder="1" applyAlignment="1">
      <alignment horizontal="left"/>
    </xf>
    <xf numFmtId="0" fontId="0" fillId="0" borderId="31" xfId="0" applyFont="1" applyFill="1" applyBorder="1" applyAlignment="1">
      <alignment horizontal="left"/>
    </xf>
    <xf numFmtId="49" fontId="0" fillId="30" borderId="27" xfId="0" applyNumberFormat="1" applyFont="1" applyFill="1" applyBorder="1" applyAlignment="1">
      <alignment horizontal="right"/>
    </xf>
    <xf numFmtId="49" fontId="0" fillId="30" borderId="28" xfId="0" applyNumberFormat="1" applyFont="1" applyFill="1" applyBorder="1" applyAlignment="1">
      <alignment horizontal="right"/>
    </xf>
    <xf numFmtId="49" fontId="0" fillId="12" borderId="28" xfId="0" applyNumberFormat="1" applyFont="1" applyFill="1" applyBorder="1" applyAlignment="1">
      <alignment horizontal="right"/>
    </xf>
    <xf numFmtId="49" fontId="0" fillId="14" borderId="27" xfId="0" applyNumberFormat="1" applyFont="1" applyFill="1" applyBorder="1" applyAlignment="1">
      <alignment horizontal="center" wrapText="1"/>
    </xf>
    <xf numFmtId="0" fontId="0" fillId="14" borderId="28" xfId="0" applyFont="1" applyFill="1" applyBorder="1" applyAlignment="1">
      <alignment horizontal="center" wrapText="1"/>
    </xf>
    <xf numFmtId="49" fontId="0" fillId="29" borderId="22" xfId="0" applyNumberFormat="1" applyFont="1" applyFill="1" applyBorder="1" applyAlignment="1">
      <alignment horizontal="center"/>
    </xf>
    <xf numFmtId="0" fontId="0" fillId="29" borderId="22" xfId="0" applyFont="1" applyFill="1" applyBorder="1" applyAlignment="1">
      <alignment horizontal="center"/>
    </xf>
    <xf numFmtId="49" fontId="0" fillId="22" borderId="22" xfId="0" applyNumberFormat="1" applyFont="1" applyFill="1" applyBorder="1" applyAlignment="1">
      <alignment horizontal="center"/>
    </xf>
    <xf numFmtId="0" fontId="0" fillId="22" borderId="22" xfId="0" applyFont="1" applyFill="1" applyBorder="1" applyAlignment="1">
      <alignment horizontal="center"/>
    </xf>
    <xf numFmtId="49" fontId="0" fillId="0" borderId="26" xfId="0" applyNumberFormat="1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49" fontId="0" fillId="31" borderId="27" xfId="0" applyNumberFormat="1" applyFont="1" applyFill="1" applyBorder="1" applyAlignment="1">
      <alignment horizontal="right"/>
    </xf>
    <xf numFmtId="49" fontId="0" fillId="31" borderId="28" xfId="0" applyNumberFormat="1" applyFont="1" applyFill="1" applyBorder="1" applyAlignment="1">
      <alignment horizontal="right"/>
    </xf>
    <xf numFmtId="49" fontId="0" fillId="0" borderId="22" xfId="0" applyNumberFormat="1" applyFont="1" applyFill="1" applyBorder="1" applyAlignment="1">
      <alignment horizontal="center" wrapText="1"/>
    </xf>
    <xf numFmtId="0" fontId="0" fillId="0" borderId="22" xfId="0" applyFont="1" applyFill="1" applyBorder="1" applyAlignment="1">
      <alignment horizontal="center" wrapText="1"/>
    </xf>
    <xf numFmtId="0" fontId="0" fillId="12" borderId="27" xfId="0" applyFont="1" applyFill="1" applyBorder="1" applyAlignment="1">
      <alignment horizontal="right"/>
    </xf>
    <xf numFmtId="0" fontId="0" fillId="31" borderId="61" xfId="0" applyFont="1" applyFill="1" applyBorder="1" applyAlignment="1">
      <alignment horizontal="right"/>
    </xf>
  </cellXfs>
  <cellStyles count="10">
    <cellStyle name="Currency" xfId="1" builtinId="4"/>
    <cellStyle name="Moneda 2" xfId="5" xr:uid="{00000000-0005-0000-0000-000001000000}"/>
    <cellStyle name="Moneda 2 2" xfId="7" xr:uid="{00000000-0005-0000-0000-000002000000}"/>
    <cellStyle name="Moneda 3" xfId="6" xr:uid="{00000000-0005-0000-0000-000003000000}"/>
    <cellStyle name="Moneda 4" xfId="9" xr:uid="{00000000-0005-0000-0000-000004000000}"/>
    <cellStyle name="Moneda 5" xfId="4" xr:uid="{00000000-0005-0000-0000-000005000000}"/>
    <cellStyle name="Normal" xfId="0" builtinId="0"/>
    <cellStyle name="Normal 2" xfId="8" xr:uid="{00000000-0005-0000-0000-000007000000}"/>
    <cellStyle name="Normal 3" xfId="2" xr:uid="{00000000-0005-0000-0000-000008000000}"/>
    <cellStyle name="Porcentaje 2" xfId="3" xr:uid="{00000000-0005-0000-0000-000009000000}"/>
  </cellStyles>
  <dxfs count="18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E5B8B7"/>
      <rgbColor rgb="FFFF0000"/>
      <rgbColor rgb="FFB6DDE8"/>
      <rgbColor rgb="FFF2F8A2"/>
      <rgbColor rgb="FFFBD4B4"/>
      <rgbColor rgb="FFD6E3BC"/>
      <rgbColor rgb="FF95B3D7"/>
      <rgbColor rgb="FFD2DAE4"/>
      <rgbColor rgb="FFC2D69B"/>
      <rgbColor rgb="FF92CDDC"/>
      <rgbColor rgb="FFDAEEF3"/>
      <rgbColor rgb="FFFFFF66"/>
      <rgbColor rgb="FFFFFF99"/>
      <rgbColor rgb="FF99CC00"/>
      <rgbColor rgb="FFCCFF99"/>
      <rgbColor rgb="FFBFBFBF"/>
      <rgbColor rgb="FFA5A5A5"/>
      <rgbColor rgb="FFD8D8D8"/>
      <rgbColor rgb="FFD99594"/>
      <rgbColor rgb="FFB2A1C7"/>
      <rgbColor rgb="FFCCC0D9"/>
      <rgbColor rgb="FFFABF8F"/>
      <rgbColor rgb="FFEDF7F9"/>
      <rgbColor rgb="FFD6D4CA"/>
      <rgbColor rgb="FF748C42"/>
      <rgbColor rgb="FFDBE5F1"/>
      <rgbColor rgb="FF0000FF"/>
      <rgbColor rgb="FF388194"/>
      <rgbColor rgb="FFB97034"/>
      <rgbColor rgb="FFFDE9D9"/>
      <rgbColor rgb="FFE5DFEC"/>
      <rgbColor rgb="FFEAF1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f5/Downloads/unico1%20Fe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UNIT"/>
      <sheetName val="OPERACIONES"/>
      <sheetName val="AUXILIARES"/>
      <sheetName val="ANÁLISIS CUADRILLAS"/>
      <sheetName val="MATERIALES"/>
      <sheetName val="ANÁLISIS DE COSTO HORARIO"/>
      <sheetName val="CATÁLOGO"/>
    </sheetNames>
    <sheetDataSet>
      <sheetData sheetId="0" refreshError="1"/>
      <sheetData sheetId="1" refreshError="1"/>
      <sheetData sheetId="2" refreshError="1">
        <row r="66">
          <cell r="T66">
            <v>1719.3400000000001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95"/>
  <sheetViews>
    <sheetView topLeftCell="AM424" zoomScale="80" zoomScaleNormal="80" workbookViewId="0">
      <selection activeCell="H695" sqref="H695:M695"/>
    </sheetView>
  </sheetViews>
  <sheetFormatPr defaultColWidth="11.44140625" defaultRowHeight="15" customHeight="1"/>
  <cols>
    <col min="1" max="1" width="22.33203125" style="1" customWidth="1"/>
    <col min="2" max="2" width="59.88671875" style="1" customWidth="1"/>
    <col min="3" max="3" width="15.44140625" style="1" customWidth="1"/>
    <col min="4" max="4" width="16" style="1" customWidth="1"/>
    <col min="5" max="5" width="13.88671875" style="1" customWidth="1"/>
    <col min="6" max="6" width="15.33203125" style="1" customWidth="1"/>
    <col min="7" max="7" width="3" style="1" customWidth="1"/>
    <col min="8" max="8" width="18.88671875" style="1" customWidth="1"/>
    <col min="9" max="9" width="66.44140625" style="1" customWidth="1"/>
    <col min="10" max="10" width="21.88671875" style="1" customWidth="1"/>
    <col min="11" max="11" width="16.109375" style="1" customWidth="1"/>
    <col min="12" max="12" width="16.6640625" style="1" customWidth="1"/>
    <col min="13" max="13" width="14" style="1" customWidth="1"/>
    <col min="14" max="14" width="3.88671875" style="1" customWidth="1"/>
    <col min="15" max="15" width="18.33203125" style="1" customWidth="1"/>
    <col min="16" max="16" width="68.5546875" style="1" customWidth="1"/>
    <col min="17" max="17" width="19.88671875" style="1" customWidth="1"/>
    <col min="18" max="18" width="18.44140625" style="1" customWidth="1"/>
    <col min="19" max="19" width="21.44140625" style="1" customWidth="1"/>
    <col min="20" max="20" width="21.88671875" style="1" customWidth="1"/>
    <col min="21" max="21" width="4.88671875" style="1" customWidth="1"/>
    <col min="22" max="22" width="19.33203125" style="1" customWidth="1"/>
    <col min="23" max="23" width="77.33203125" style="1" bestFit="1" customWidth="1"/>
    <col min="24" max="24" width="11.88671875" style="1" customWidth="1"/>
    <col min="25" max="25" width="13.33203125" style="1" customWidth="1"/>
    <col min="26" max="26" width="11.44140625" style="1" customWidth="1"/>
    <col min="27" max="27" width="14.33203125" style="1" customWidth="1"/>
    <col min="28" max="28" width="11.44140625" style="1" customWidth="1"/>
    <col min="29" max="29" width="19.44140625" style="1" customWidth="1"/>
    <col min="30" max="30" width="85.109375" style="1" customWidth="1"/>
    <col min="31" max="31" width="12" style="1" bestFit="1" customWidth="1"/>
    <col min="32" max="32" width="16.109375" style="1" bestFit="1" customWidth="1"/>
    <col min="33" max="33" width="15" style="1" customWidth="1"/>
    <col min="34" max="34" width="16.109375" style="1" bestFit="1" customWidth="1"/>
    <col min="35" max="35" width="11.44140625" style="1" customWidth="1"/>
    <col min="36" max="36" width="19.5546875" style="1" customWidth="1"/>
    <col min="37" max="37" width="82.6640625" style="1" customWidth="1"/>
    <col min="38" max="38" width="11.44140625" style="1" customWidth="1"/>
    <col min="39" max="39" width="12.33203125" style="1" customWidth="1"/>
    <col min="40" max="40" width="12.88671875" style="1" customWidth="1"/>
    <col min="41" max="41" width="13.33203125" style="1" customWidth="1"/>
    <col min="42" max="42" width="11.44140625" style="1" customWidth="1"/>
    <col min="43" max="43" width="14.109375" style="1" customWidth="1"/>
    <col min="44" max="44" width="82.44140625" style="1" customWidth="1"/>
    <col min="45" max="45" width="11.44140625" style="1" customWidth="1"/>
    <col min="46" max="46" width="14.33203125" style="1" customWidth="1"/>
    <col min="47" max="47" width="13.33203125" style="1" customWidth="1"/>
    <col min="48" max="48" width="12.88671875" style="1" customWidth="1"/>
    <col min="49" max="49" width="11.44140625" style="1" customWidth="1"/>
    <col min="50" max="50" width="13.33203125" style="1" customWidth="1"/>
    <col min="51" max="51" width="86" style="1" customWidth="1"/>
    <col min="52" max="52" width="11.44140625" style="1" customWidth="1"/>
    <col min="53" max="53" width="12" style="1" customWidth="1"/>
    <col min="54" max="56" width="11.44140625" style="1" customWidth="1"/>
    <col min="57" max="57" width="13.88671875" style="1" customWidth="1"/>
    <col min="58" max="58" width="81.33203125" style="1" customWidth="1"/>
    <col min="59" max="59" width="14.109375" style="1" customWidth="1"/>
    <col min="60" max="60" width="11.44140625" style="1" customWidth="1"/>
    <col min="61" max="61" width="13.6640625" style="1" customWidth="1"/>
    <col min="62" max="63" width="11.44140625" style="1" customWidth="1"/>
    <col min="64" max="64" width="15.5546875" style="1" customWidth="1"/>
    <col min="65" max="65" width="70.5546875" style="1" customWidth="1"/>
    <col min="66" max="66" width="12.44140625" style="1" customWidth="1"/>
    <col min="67" max="67" width="13.88671875" style="1" customWidth="1"/>
    <col min="68" max="70" width="11.44140625" style="1" customWidth="1"/>
    <col min="71" max="71" width="16.109375" style="1" customWidth="1"/>
    <col min="72" max="72" width="80.44140625" style="1" customWidth="1"/>
    <col min="73" max="77" width="11.44140625" style="1" customWidth="1"/>
    <col min="78" max="78" width="14.44140625" style="1" customWidth="1"/>
    <col min="79" max="79" width="71.6640625" style="1" customWidth="1"/>
    <col min="80" max="80" width="11.44140625" style="1" customWidth="1"/>
    <col min="81" max="81" width="15.33203125" style="1" customWidth="1"/>
    <col min="82" max="256" width="11.44140625" style="1" customWidth="1"/>
  </cols>
  <sheetData>
    <row r="1" spans="1:41" ht="27" customHeight="1" thickBot="1">
      <c r="A1" s="696" t="s">
        <v>0</v>
      </c>
      <c r="B1" s="697"/>
      <c r="C1" s="697"/>
      <c r="D1" s="697"/>
      <c r="E1" s="697"/>
      <c r="F1" s="698"/>
      <c r="G1" s="2"/>
      <c r="H1" s="696" t="s">
        <v>0</v>
      </c>
      <c r="I1" s="697"/>
      <c r="J1" s="697"/>
      <c r="K1" s="697"/>
      <c r="L1" s="697"/>
      <c r="M1" s="698"/>
      <c r="N1" s="2"/>
      <c r="O1" s="696" t="s">
        <v>0</v>
      </c>
      <c r="P1" s="697"/>
      <c r="Q1" s="697"/>
      <c r="R1" s="697"/>
      <c r="S1" s="697"/>
      <c r="T1" s="698"/>
      <c r="V1" s="752" t="s">
        <v>0</v>
      </c>
      <c r="W1" s="753"/>
      <c r="X1" s="753"/>
      <c r="Y1" s="753"/>
      <c r="Z1" s="753"/>
      <c r="AA1" s="754"/>
      <c r="AC1" s="696" t="s">
        <v>0</v>
      </c>
      <c r="AD1" s="697"/>
      <c r="AE1" s="697"/>
      <c r="AF1" s="697"/>
      <c r="AG1" s="697"/>
      <c r="AH1" s="698"/>
      <c r="AJ1" s="696" t="s">
        <v>0</v>
      </c>
      <c r="AK1" s="697"/>
      <c r="AL1" s="697"/>
      <c r="AM1" s="697"/>
      <c r="AN1" s="697"/>
      <c r="AO1" s="698"/>
    </row>
    <row r="2" spans="1:41" ht="19.5" customHeight="1" thickBot="1">
      <c r="A2" s="3" t="s">
        <v>1</v>
      </c>
      <c r="B2" s="693" t="s">
        <v>2</v>
      </c>
      <c r="C2" s="694"/>
      <c r="D2" s="694"/>
      <c r="E2" s="695"/>
      <c r="F2" s="3" t="s">
        <v>3</v>
      </c>
      <c r="G2" s="2"/>
      <c r="H2" s="4" t="s">
        <v>1</v>
      </c>
      <c r="I2" s="699" t="s">
        <v>2</v>
      </c>
      <c r="J2" s="700"/>
      <c r="K2" s="700"/>
      <c r="L2" s="701"/>
      <c r="M2" s="3" t="s">
        <v>3</v>
      </c>
      <c r="N2" s="2"/>
      <c r="O2" s="4" t="s">
        <v>1</v>
      </c>
      <c r="P2" s="699" t="s">
        <v>2</v>
      </c>
      <c r="Q2" s="700"/>
      <c r="R2" s="700"/>
      <c r="S2" s="701"/>
      <c r="T2" s="3" t="s">
        <v>3</v>
      </c>
      <c r="V2" s="387" t="s">
        <v>1</v>
      </c>
      <c r="W2" s="758" t="s">
        <v>2</v>
      </c>
      <c r="X2" s="759"/>
      <c r="Y2" s="759"/>
      <c r="Z2" s="760"/>
      <c r="AA2" s="387" t="s">
        <v>3</v>
      </c>
      <c r="AC2" s="4" t="s">
        <v>1</v>
      </c>
      <c r="AD2" s="699" t="s">
        <v>2</v>
      </c>
      <c r="AE2" s="700"/>
      <c r="AF2" s="700"/>
      <c r="AG2" s="701"/>
      <c r="AH2" s="3" t="s">
        <v>3</v>
      </c>
      <c r="AJ2" s="4" t="s">
        <v>1</v>
      </c>
      <c r="AK2" s="699" t="s">
        <v>2</v>
      </c>
      <c r="AL2" s="700"/>
      <c r="AM2" s="700"/>
      <c r="AN2" s="701"/>
      <c r="AO2" s="3" t="s">
        <v>3</v>
      </c>
    </row>
    <row r="3" spans="1:41" ht="93.75" customHeight="1" thickBot="1">
      <c r="A3" s="5" t="s">
        <v>4</v>
      </c>
      <c r="B3" s="743" t="s">
        <v>5</v>
      </c>
      <c r="C3" s="744"/>
      <c r="D3" s="744"/>
      <c r="E3" s="745"/>
      <c r="F3" s="5" t="s">
        <v>6</v>
      </c>
      <c r="G3" s="6"/>
      <c r="H3" s="7" t="s">
        <v>7</v>
      </c>
      <c r="I3" s="702" t="s">
        <v>885</v>
      </c>
      <c r="J3" s="703"/>
      <c r="K3" s="703"/>
      <c r="L3" s="704"/>
      <c r="M3" s="5" t="s">
        <v>6</v>
      </c>
      <c r="N3" s="6"/>
      <c r="O3" s="7" t="s">
        <v>881</v>
      </c>
      <c r="P3" s="702" t="s">
        <v>1090</v>
      </c>
      <c r="Q3" s="703"/>
      <c r="R3" s="703"/>
      <c r="S3" s="704"/>
      <c r="T3" s="5" t="s">
        <v>6</v>
      </c>
      <c r="V3" s="388" t="s">
        <v>886</v>
      </c>
      <c r="W3" s="761" t="s">
        <v>843</v>
      </c>
      <c r="X3" s="762"/>
      <c r="Y3" s="762"/>
      <c r="Z3" s="763"/>
      <c r="AA3" s="388" t="s">
        <v>64</v>
      </c>
      <c r="AC3" s="443" t="s">
        <v>887</v>
      </c>
      <c r="AD3" s="702" t="s">
        <v>899</v>
      </c>
      <c r="AE3" s="703"/>
      <c r="AF3" s="703"/>
      <c r="AG3" s="704"/>
      <c r="AH3" s="5" t="s">
        <v>6</v>
      </c>
      <c r="AJ3" s="635" t="s">
        <v>887</v>
      </c>
      <c r="AK3" s="702" t="s">
        <v>1359</v>
      </c>
      <c r="AL3" s="703"/>
      <c r="AM3" s="703"/>
      <c r="AN3" s="704"/>
      <c r="AO3" s="5" t="s">
        <v>6</v>
      </c>
    </row>
    <row r="4" spans="1:41" ht="15.75" customHeight="1" thickBot="1">
      <c r="A4" s="705" t="s">
        <v>8</v>
      </c>
      <c r="B4" s="706"/>
      <c r="C4" s="706"/>
      <c r="D4" s="706"/>
      <c r="E4" s="706"/>
      <c r="F4" s="707"/>
      <c r="G4" s="2"/>
      <c r="H4" s="705" t="s">
        <v>8</v>
      </c>
      <c r="I4" s="706"/>
      <c r="J4" s="706"/>
      <c r="K4" s="706"/>
      <c r="L4" s="706"/>
      <c r="M4" s="707"/>
      <c r="N4" s="2"/>
      <c r="O4" s="705" t="s">
        <v>8</v>
      </c>
      <c r="P4" s="706"/>
      <c r="Q4" s="706"/>
      <c r="R4" s="706"/>
      <c r="S4" s="706"/>
      <c r="T4" s="707"/>
      <c r="V4" s="705" t="s">
        <v>8</v>
      </c>
      <c r="W4" s="706"/>
      <c r="X4" s="706"/>
      <c r="Y4" s="706"/>
      <c r="Z4" s="706"/>
      <c r="AA4" s="707"/>
      <c r="AC4" s="705" t="s">
        <v>8</v>
      </c>
      <c r="AD4" s="706"/>
      <c r="AE4" s="706"/>
      <c r="AF4" s="706"/>
      <c r="AG4" s="706"/>
      <c r="AH4" s="707"/>
      <c r="AJ4" s="705" t="s">
        <v>8</v>
      </c>
      <c r="AK4" s="706"/>
      <c r="AL4" s="706"/>
      <c r="AM4" s="706"/>
      <c r="AN4" s="706"/>
      <c r="AO4" s="707"/>
    </row>
    <row r="5" spans="1:41" ht="15.75" customHeight="1" thickBot="1">
      <c r="A5" s="8" t="s">
        <v>1</v>
      </c>
      <c r="B5" s="5" t="s">
        <v>2</v>
      </c>
      <c r="C5" s="8" t="s">
        <v>3</v>
      </c>
      <c r="D5" s="8" t="s">
        <v>9</v>
      </c>
      <c r="E5" s="8" t="s">
        <v>10</v>
      </c>
      <c r="F5" s="8" t="s">
        <v>11</v>
      </c>
      <c r="G5" s="2"/>
      <c r="H5" s="8" t="s">
        <v>1</v>
      </c>
      <c r="I5" s="5" t="s">
        <v>2</v>
      </c>
      <c r="J5" s="8" t="s">
        <v>3</v>
      </c>
      <c r="K5" s="8" t="s">
        <v>9</v>
      </c>
      <c r="L5" s="8" t="s">
        <v>10</v>
      </c>
      <c r="M5" s="8" t="s">
        <v>11</v>
      </c>
      <c r="N5" s="2"/>
      <c r="O5" s="8" t="s">
        <v>1</v>
      </c>
      <c r="P5" s="5" t="s">
        <v>2</v>
      </c>
      <c r="Q5" s="8" t="s">
        <v>3</v>
      </c>
      <c r="R5" s="8" t="s">
        <v>9</v>
      </c>
      <c r="S5" s="8" t="s">
        <v>10</v>
      </c>
      <c r="T5" s="8" t="s">
        <v>11</v>
      </c>
      <c r="V5" s="389" t="s">
        <v>1</v>
      </c>
      <c r="W5" s="390" t="s">
        <v>2</v>
      </c>
      <c r="X5" s="389" t="s">
        <v>3</v>
      </c>
      <c r="Y5" s="389" t="s">
        <v>9</v>
      </c>
      <c r="Z5" s="389" t="s">
        <v>10</v>
      </c>
      <c r="AA5" s="389" t="s">
        <v>11</v>
      </c>
      <c r="AC5" s="8" t="s">
        <v>1</v>
      </c>
      <c r="AD5" s="5" t="s">
        <v>2</v>
      </c>
      <c r="AE5" s="8" t="s">
        <v>3</v>
      </c>
      <c r="AF5" s="8" t="s">
        <v>9</v>
      </c>
      <c r="AG5" s="8" t="s">
        <v>10</v>
      </c>
      <c r="AH5" s="8" t="s">
        <v>11</v>
      </c>
      <c r="AJ5" s="8" t="s">
        <v>1</v>
      </c>
      <c r="AK5" s="5" t="s">
        <v>2</v>
      </c>
      <c r="AL5" s="8" t="s">
        <v>3</v>
      </c>
      <c r="AM5" s="8" t="s">
        <v>9</v>
      </c>
      <c r="AN5" s="8" t="s">
        <v>10</v>
      </c>
      <c r="AO5" s="8" t="s">
        <v>11</v>
      </c>
    </row>
    <row r="6" spans="1:41" ht="15.6" customHeight="1" thickBot="1">
      <c r="A6" s="9" t="str">
        <f>MATERIALES!B184</f>
        <v>TAB-002</v>
      </c>
      <c r="B6" s="10" t="s">
        <v>13</v>
      </c>
      <c r="C6" s="9" t="s">
        <v>14</v>
      </c>
      <c r="D6" s="11">
        <v>5.6000000000000001E-2</v>
      </c>
      <c r="E6" s="12">
        <f>MATERIALES!E184</f>
        <v>1293.0999999999999</v>
      </c>
      <c r="F6" s="13">
        <f>(D6*E6)</f>
        <v>72.413600000000002</v>
      </c>
      <c r="G6" s="2"/>
      <c r="H6" s="14"/>
      <c r="I6" s="15"/>
      <c r="J6" s="14"/>
      <c r="K6" s="14"/>
      <c r="L6" s="13"/>
      <c r="M6" s="13"/>
      <c r="N6" s="2"/>
      <c r="O6" s="14"/>
      <c r="P6" s="15"/>
      <c r="Q6" s="14"/>
      <c r="R6" s="14"/>
      <c r="S6" s="13"/>
      <c r="T6" s="13"/>
      <c r="V6" s="391"/>
      <c r="W6" s="392"/>
      <c r="X6" s="391"/>
      <c r="Y6" s="391"/>
      <c r="Z6" s="393"/>
      <c r="AA6" s="393"/>
      <c r="AC6" s="14" t="s">
        <v>1088</v>
      </c>
      <c r="AD6" s="15" t="s">
        <v>900</v>
      </c>
      <c r="AE6" s="14" t="s">
        <v>64</v>
      </c>
      <c r="AF6" s="14">
        <v>6</v>
      </c>
      <c r="AG6" s="13">
        <f>MATERIALES!E205</f>
        <v>17.239999999999998</v>
      </c>
      <c r="AH6" s="13">
        <f>AF6*AG6</f>
        <v>103.44</v>
      </c>
      <c r="AJ6" s="14" t="s">
        <v>1354</v>
      </c>
      <c r="AK6" s="15" t="s">
        <v>1357</v>
      </c>
      <c r="AL6" s="14" t="s">
        <v>17</v>
      </c>
      <c r="AM6" s="14">
        <v>0.8</v>
      </c>
      <c r="AN6" s="13">
        <f>MATERIALES!E221</f>
        <v>164.6</v>
      </c>
      <c r="AO6" s="13">
        <f>AM6*AN6</f>
        <v>131.68</v>
      </c>
    </row>
    <row r="7" spans="1:41" ht="15" customHeight="1">
      <c r="A7" s="16" t="str">
        <f>MATERIALES!B15</f>
        <v>AGU-001</v>
      </c>
      <c r="B7" s="17" t="s">
        <v>16</v>
      </c>
      <c r="C7" s="16" t="s">
        <v>17</v>
      </c>
      <c r="D7" s="18">
        <v>2.1000000000000001E-2</v>
      </c>
      <c r="E7" s="19">
        <f>MATERIALES!E15</f>
        <v>10</v>
      </c>
      <c r="F7" s="20">
        <f>(D7*E7)</f>
        <v>0.21000000000000002</v>
      </c>
      <c r="G7" s="2"/>
      <c r="H7" s="21"/>
      <c r="I7" s="22"/>
      <c r="J7" s="21"/>
      <c r="K7" s="21"/>
      <c r="L7" s="20"/>
      <c r="M7" s="20"/>
      <c r="N7" s="2"/>
      <c r="O7" s="21"/>
      <c r="P7" s="22"/>
      <c r="Q7" s="21"/>
      <c r="R7" s="21"/>
      <c r="S7" s="20"/>
      <c r="T7" s="20"/>
      <c r="V7" s="394"/>
      <c r="W7" s="395"/>
      <c r="X7" s="394"/>
      <c r="Y7" s="394"/>
      <c r="Z7" s="396"/>
      <c r="AA7" s="396"/>
      <c r="AC7" s="21" t="s">
        <v>353</v>
      </c>
      <c r="AD7" s="22" t="s">
        <v>901</v>
      </c>
      <c r="AE7" s="21" t="s">
        <v>833</v>
      </c>
      <c r="AF7" s="21">
        <v>1.64</v>
      </c>
      <c r="AG7" s="20">
        <f>MATERIALES!E26</f>
        <v>77.59</v>
      </c>
      <c r="AH7" s="20">
        <f>AF7*AG7</f>
        <v>127.24759999999999</v>
      </c>
      <c r="AJ7" s="21" t="s">
        <v>15</v>
      </c>
      <c r="AK7" s="22" t="s">
        <v>146</v>
      </c>
      <c r="AL7" s="21" t="s">
        <v>17</v>
      </c>
      <c r="AM7" s="21">
        <f>50/1000</f>
        <v>0.05</v>
      </c>
      <c r="AN7" s="20">
        <f>MATERIALES!E15</f>
        <v>10</v>
      </c>
      <c r="AO7" s="13">
        <f>AM7*AN7</f>
        <v>0.5</v>
      </c>
    </row>
    <row r="8" spans="1:41" ht="15" customHeight="1">
      <c r="A8" s="21"/>
      <c r="B8" s="22"/>
      <c r="C8" s="21"/>
      <c r="D8" s="21"/>
      <c r="E8" s="20"/>
      <c r="F8" s="20"/>
      <c r="G8" s="2"/>
      <c r="H8" s="21"/>
      <c r="I8" s="22"/>
      <c r="J8" s="21"/>
      <c r="K8" s="21"/>
      <c r="L8" s="20"/>
      <c r="M8" s="20"/>
      <c r="N8" s="2"/>
      <c r="O8" s="21"/>
      <c r="P8" s="22"/>
      <c r="Q8" s="21"/>
      <c r="R8" s="21"/>
      <c r="S8" s="20"/>
      <c r="T8" s="20"/>
      <c r="V8" s="394"/>
      <c r="W8" s="395"/>
      <c r="X8" s="394"/>
      <c r="Y8" s="394"/>
      <c r="Z8" s="396"/>
      <c r="AA8" s="396"/>
      <c r="AC8" s="21"/>
      <c r="AD8" s="22"/>
      <c r="AE8" s="21"/>
      <c r="AF8" s="21"/>
      <c r="AG8" s="20"/>
      <c r="AH8" s="20"/>
      <c r="AJ8" s="21"/>
      <c r="AK8" s="22"/>
      <c r="AL8" s="21"/>
      <c r="AM8" s="21"/>
      <c r="AN8" s="20"/>
      <c r="AO8" s="20"/>
    </row>
    <row r="9" spans="1:41" ht="15" customHeight="1">
      <c r="A9" s="21"/>
      <c r="B9" s="22"/>
      <c r="C9" s="21"/>
      <c r="D9" s="21"/>
      <c r="E9" s="20"/>
      <c r="F9" s="20"/>
      <c r="G9" s="2"/>
      <c r="H9" s="21"/>
      <c r="I9" s="22"/>
      <c r="J9" s="21"/>
      <c r="K9" s="21"/>
      <c r="L9" s="20"/>
      <c r="M9" s="20"/>
      <c r="N9" s="2"/>
      <c r="O9" s="21"/>
      <c r="P9" s="22"/>
      <c r="Q9" s="21"/>
      <c r="R9" s="21"/>
      <c r="S9" s="20"/>
      <c r="T9" s="20"/>
      <c r="V9" s="394"/>
      <c r="W9" s="395"/>
      <c r="X9" s="394"/>
      <c r="Y9" s="394"/>
      <c r="Z9" s="396"/>
      <c r="AA9" s="396"/>
      <c r="AC9" s="21"/>
      <c r="AD9" s="22"/>
      <c r="AE9" s="21"/>
      <c r="AF9" s="21"/>
      <c r="AG9" s="20"/>
      <c r="AH9" s="20"/>
      <c r="AJ9" s="21"/>
      <c r="AK9" s="22"/>
      <c r="AL9" s="21"/>
      <c r="AM9" s="21"/>
      <c r="AN9" s="20"/>
      <c r="AO9" s="20"/>
    </row>
    <row r="10" spans="1:41" ht="15" customHeight="1">
      <c r="A10" s="21"/>
      <c r="B10" s="22"/>
      <c r="C10" s="21"/>
      <c r="D10" s="21"/>
      <c r="E10" s="20"/>
      <c r="F10" s="20"/>
      <c r="G10" s="2"/>
      <c r="H10" s="21"/>
      <c r="I10" s="22"/>
      <c r="J10" s="21"/>
      <c r="K10" s="21"/>
      <c r="L10" s="20"/>
      <c r="M10" s="20"/>
      <c r="N10" s="2"/>
      <c r="O10" s="21"/>
      <c r="P10" s="22"/>
      <c r="Q10" s="21"/>
      <c r="R10" s="21"/>
      <c r="S10" s="20"/>
      <c r="T10" s="20"/>
      <c r="V10" s="394"/>
      <c r="W10" s="395"/>
      <c r="X10" s="394"/>
      <c r="Y10" s="394"/>
      <c r="Z10" s="396"/>
      <c r="AA10" s="396"/>
      <c r="AC10" s="21"/>
      <c r="AD10" s="22"/>
      <c r="AE10" s="21"/>
      <c r="AF10" s="21"/>
      <c r="AG10" s="20"/>
      <c r="AH10" s="20"/>
      <c r="AJ10" s="21"/>
      <c r="AK10" s="22"/>
      <c r="AL10" s="21"/>
      <c r="AM10" s="21"/>
      <c r="AN10" s="20"/>
      <c r="AO10" s="20"/>
    </row>
    <row r="11" spans="1:41" ht="15" customHeight="1">
      <c r="A11" s="21"/>
      <c r="B11" s="22"/>
      <c r="C11" s="21"/>
      <c r="D11" s="21"/>
      <c r="E11" s="20"/>
      <c r="F11" s="20"/>
      <c r="G11" s="2"/>
      <c r="H11" s="21"/>
      <c r="I11" s="22"/>
      <c r="J11" s="21"/>
      <c r="K11" s="21"/>
      <c r="L11" s="20"/>
      <c r="M11" s="20"/>
      <c r="N11" s="2"/>
      <c r="O11" s="21"/>
      <c r="P11" s="22"/>
      <c r="Q11" s="21"/>
      <c r="R11" s="21"/>
      <c r="S11" s="20"/>
      <c r="T11" s="20"/>
      <c r="V11" s="394"/>
      <c r="W11" s="395"/>
      <c r="X11" s="394"/>
      <c r="Y11" s="394"/>
      <c r="Z11" s="396"/>
      <c r="AA11" s="396"/>
      <c r="AC11" s="21"/>
      <c r="AD11" s="22"/>
      <c r="AE11" s="21"/>
      <c r="AF11" s="21"/>
      <c r="AG11" s="20"/>
      <c r="AH11" s="20"/>
      <c r="AJ11" s="21"/>
      <c r="AK11" s="22"/>
      <c r="AL11" s="21"/>
      <c r="AM11" s="21"/>
      <c r="AN11" s="20"/>
      <c r="AO11" s="20"/>
    </row>
    <row r="12" spans="1:41" ht="15.75" customHeight="1" thickBot="1">
      <c r="A12" s="23"/>
      <c r="B12" s="24"/>
      <c r="C12" s="23"/>
      <c r="D12" s="23"/>
      <c r="E12" s="25"/>
      <c r="F12" s="25"/>
      <c r="G12" s="2"/>
      <c r="H12" s="23"/>
      <c r="I12" s="24"/>
      <c r="J12" s="23"/>
      <c r="K12" s="23"/>
      <c r="L12" s="25"/>
      <c r="M12" s="25"/>
      <c r="N12" s="2"/>
      <c r="O12" s="23"/>
      <c r="P12" s="24"/>
      <c r="Q12" s="23"/>
      <c r="R12" s="23"/>
      <c r="S12" s="25"/>
      <c r="T12" s="25"/>
      <c r="V12" s="397"/>
      <c r="W12" s="398"/>
      <c r="X12" s="397"/>
      <c r="Y12" s="397"/>
      <c r="Z12" s="399"/>
      <c r="AA12" s="399"/>
      <c r="AC12" s="23"/>
      <c r="AD12" s="24"/>
      <c r="AE12" s="23"/>
      <c r="AF12" s="23"/>
      <c r="AG12" s="25"/>
      <c r="AH12" s="25"/>
      <c r="AJ12" s="23"/>
      <c r="AK12" s="24"/>
      <c r="AL12" s="23"/>
      <c r="AM12" s="23"/>
      <c r="AN12" s="25"/>
      <c r="AO12" s="25"/>
    </row>
    <row r="13" spans="1:41" ht="15.75" customHeight="1" thickBot="1">
      <c r="A13" s="708" t="s">
        <v>18</v>
      </c>
      <c r="B13" s="709"/>
      <c r="C13" s="709"/>
      <c r="D13" s="709"/>
      <c r="E13" s="710"/>
      <c r="F13" s="26">
        <f>SUM(F6:F12)</f>
        <v>72.623599999999996</v>
      </c>
      <c r="G13" s="2"/>
      <c r="H13" s="708" t="s">
        <v>18</v>
      </c>
      <c r="I13" s="709"/>
      <c r="J13" s="709"/>
      <c r="K13" s="709"/>
      <c r="L13" s="710"/>
      <c r="M13" s="26">
        <f>SUM(M6:M12)</f>
        <v>0</v>
      </c>
      <c r="N13" s="2"/>
      <c r="O13" s="708" t="s">
        <v>18</v>
      </c>
      <c r="P13" s="709"/>
      <c r="Q13" s="709"/>
      <c r="R13" s="709"/>
      <c r="S13" s="710"/>
      <c r="T13" s="26">
        <f>SUM(T6:T12)</f>
        <v>0</v>
      </c>
      <c r="V13" s="708" t="s">
        <v>18</v>
      </c>
      <c r="W13" s="709"/>
      <c r="X13" s="709"/>
      <c r="Y13" s="709"/>
      <c r="Z13" s="710"/>
      <c r="AA13" s="26">
        <f>SUM(AA6:AA12)</f>
        <v>0</v>
      </c>
      <c r="AC13" s="708" t="s">
        <v>18</v>
      </c>
      <c r="AD13" s="709"/>
      <c r="AE13" s="709"/>
      <c r="AF13" s="709"/>
      <c r="AG13" s="710"/>
      <c r="AH13" s="26">
        <f>SUM(AH6:AH12)</f>
        <v>230.68759999999997</v>
      </c>
      <c r="AJ13" s="708" t="s">
        <v>18</v>
      </c>
      <c r="AK13" s="709"/>
      <c r="AL13" s="709"/>
      <c r="AM13" s="709"/>
      <c r="AN13" s="710"/>
      <c r="AO13" s="26">
        <f>SUM(AO6:AO12)</f>
        <v>132.18</v>
      </c>
    </row>
    <row r="14" spans="1:41" ht="15.75" customHeight="1" thickBot="1">
      <c r="A14" s="711" t="s">
        <v>19</v>
      </c>
      <c r="B14" s="712"/>
      <c r="C14" s="712"/>
      <c r="D14" s="712"/>
      <c r="E14" s="712"/>
      <c r="F14" s="713"/>
      <c r="G14" s="2"/>
      <c r="H14" s="711" t="s">
        <v>19</v>
      </c>
      <c r="I14" s="712"/>
      <c r="J14" s="712"/>
      <c r="K14" s="712"/>
      <c r="L14" s="712"/>
      <c r="M14" s="713"/>
      <c r="N14" s="2"/>
      <c r="O14" s="711" t="s">
        <v>19</v>
      </c>
      <c r="P14" s="712"/>
      <c r="Q14" s="712"/>
      <c r="R14" s="712"/>
      <c r="S14" s="712"/>
      <c r="T14" s="713"/>
      <c r="V14" s="711" t="s">
        <v>19</v>
      </c>
      <c r="W14" s="712"/>
      <c r="X14" s="712"/>
      <c r="Y14" s="712"/>
      <c r="Z14" s="712"/>
      <c r="AA14" s="713"/>
      <c r="AC14" s="711" t="s">
        <v>19</v>
      </c>
      <c r="AD14" s="712"/>
      <c r="AE14" s="712"/>
      <c r="AF14" s="712"/>
      <c r="AG14" s="712"/>
      <c r="AH14" s="713"/>
      <c r="AJ14" s="711" t="s">
        <v>19</v>
      </c>
      <c r="AK14" s="712"/>
      <c r="AL14" s="712"/>
      <c r="AM14" s="712"/>
      <c r="AN14" s="712"/>
      <c r="AO14" s="713"/>
    </row>
    <row r="15" spans="1:41" ht="15.75" customHeight="1" thickBot="1">
      <c r="A15" s="8" t="s">
        <v>1</v>
      </c>
      <c r="B15" s="5" t="s">
        <v>2</v>
      </c>
      <c r="C15" s="8" t="s">
        <v>3</v>
      </c>
      <c r="D15" s="8" t="s">
        <v>9</v>
      </c>
      <c r="E15" s="8" t="s">
        <v>10</v>
      </c>
      <c r="F15" s="8" t="s">
        <v>11</v>
      </c>
      <c r="G15" s="2"/>
      <c r="H15" s="8" t="s">
        <v>1</v>
      </c>
      <c r="I15" s="5" t="s">
        <v>2</v>
      </c>
      <c r="J15" s="8" t="s">
        <v>3</v>
      </c>
      <c r="K15" s="8" t="s">
        <v>9</v>
      </c>
      <c r="L15" s="8" t="s">
        <v>10</v>
      </c>
      <c r="M15" s="8" t="s">
        <v>11</v>
      </c>
      <c r="N15" s="2"/>
      <c r="O15" s="8" t="s">
        <v>1</v>
      </c>
      <c r="P15" s="5" t="s">
        <v>2</v>
      </c>
      <c r="Q15" s="8" t="s">
        <v>3</v>
      </c>
      <c r="R15" s="8" t="s">
        <v>9</v>
      </c>
      <c r="S15" s="8" t="s">
        <v>10</v>
      </c>
      <c r="T15" s="8" t="s">
        <v>11</v>
      </c>
      <c r="V15" s="389" t="s">
        <v>1</v>
      </c>
      <c r="W15" s="390" t="s">
        <v>2</v>
      </c>
      <c r="X15" s="389" t="s">
        <v>3</v>
      </c>
      <c r="Y15" s="389" t="s">
        <v>9</v>
      </c>
      <c r="Z15" s="389" t="s">
        <v>10</v>
      </c>
      <c r="AA15" s="389" t="s">
        <v>11</v>
      </c>
      <c r="AC15" s="8" t="s">
        <v>1</v>
      </c>
      <c r="AD15" s="5" t="s">
        <v>2</v>
      </c>
      <c r="AE15" s="8" t="s">
        <v>3</v>
      </c>
      <c r="AF15" s="8" t="s">
        <v>9</v>
      </c>
      <c r="AG15" s="8" t="s">
        <v>10</v>
      </c>
      <c r="AH15" s="8" t="s">
        <v>11</v>
      </c>
      <c r="AJ15" s="8" t="s">
        <v>1</v>
      </c>
      <c r="AK15" s="5" t="s">
        <v>2</v>
      </c>
      <c r="AL15" s="8" t="s">
        <v>3</v>
      </c>
      <c r="AM15" s="8" t="s">
        <v>9</v>
      </c>
      <c r="AN15" s="8" t="s">
        <v>10</v>
      </c>
      <c r="AO15" s="8" t="s">
        <v>11</v>
      </c>
    </row>
    <row r="16" spans="1:41" ht="15.6" customHeight="1">
      <c r="A16" s="9" t="str">
        <f>'ANÁLISIS CUADRILLAS'!A2</f>
        <v>CUADR-001</v>
      </c>
      <c r="B16" s="10" t="s">
        <v>20</v>
      </c>
      <c r="C16" s="9" t="s">
        <v>21</v>
      </c>
      <c r="D16" s="27">
        <v>8.3000000000000004E-2</v>
      </c>
      <c r="E16" s="12">
        <f>'ANÁLISIS CUADRILLAS'!F7</f>
        <v>1160.5378059999998</v>
      </c>
      <c r="F16" s="13">
        <f>(D16*E16)</f>
        <v>96.324637897999992</v>
      </c>
      <c r="G16" s="2"/>
      <c r="H16" s="9" t="str">
        <f>'ANÁLISIS CUADRILLAS'!A2</f>
        <v>CUADR-001</v>
      </c>
      <c r="I16" s="10" t="s">
        <v>22</v>
      </c>
      <c r="J16" s="9" t="s">
        <v>21</v>
      </c>
      <c r="K16" s="27">
        <f>1/32</f>
        <v>3.125E-2</v>
      </c>
      <c r="L16" s="12">
        <f>'ANÁLISIS CUADRILLAS'!F7</f>
        <v>1160.5378059999998</v>
      </c>
      <c r="M16" s="13">
        <f>K16*L16</f>
        <v>36.266806437499994</v>
      </c>
      <c r="N16" s="2"/>
      <c r="O16" s="9" t="str">
        <f>'ANÁLISIS CUADRILLAS'!A2</f>
        <v>CUADR-001</v>
      </c>
      <c r="P16" s="10" t="s">
        <v>22</v>
      </c>
      <c r="Q16" s="9" t="s">
        <v>21</v>
      </c>
      <c r="R16" s="27">
        <f>1/9</f>
        <v>0.1111111111111111</v>
      </c>
      <c r="S16" s="12">
        <f>'ANÁLISIS CUADRILLAS'!F7</f>
        <v>1160.5378059999998</v>
      </c>
      <c r="T16" s="13">
        <f>R16*S16</f>
        <v>128.94864511111109</v>
      </c>
      <c r="V16" s="401" t="str">
        <f>'ANÁLISIS CUADRILLAS'!A2</f>
        <v>CUADR-001</v>
      </c>
      <c r="W16" s="402" t="s">
        <v>845</v>
      </c>
      <c r="X16" s="403" t="s">
        <v>21</v>
      </c>
      <c r="Y16" s="404">
        <f>1/11.76</f>
        <v>8.5034013605442174E-2</v>
      </c>
      <c r="Z16" s="405">
        <f>'ANÁLISIS CUADRILLAS'!F7</f>
        <v>1160.5378059999998</v>
      </c>
      <c r="AA16" s="393">
        <f>Y16*Z16</f>
        <v>98.685187585034001</v>
      </c>
      <c r="AC16" s="9" t="s">
        <v>898</v>
      </c>
      <c r="AD16" s="10" t="s">
        <v>22</v>
      </c>
      <c r="AE16" s="9" t="s">
        <v>21</v>
      </c>
      <c r="AF16" s="27">
        <f>1/9</f>
        <v>0.1111111111111111</v>
      </c>
      <c r="AG16" s="12">
        <f>'ANÁLISIS CUADRILLAS'!F7</f>
        <v>1160.5378059999998</v>
      </c>
      <c r="AH16" s="13">
        <f>AF16*AG16</f>
        <v>128.94864511111109</v>
      </c>
      <c r="AJ16" s="9" t="s">
        <v>255</v>
      </c>
      <c r="AK16" s="10" t="s">
        <v>22</v>
      </c>
      <c r="AL16" s="9" t="s">
        <v>21</v>
      </c>
      <c r="AM16" s="27">
        <f>1/2.75</f>
        <v>0.36363636363636365</v>
      </c>
      <c r="AN16" s="12">
        <f>'ANÁLISIS CUADRILLAS'!F7</f>
        <v>1160.5378059999998</v>
      </c>
      <c r="AO16" s="13">
        <f>AM16*AN16</f>
        <v>422.01374763636358</v>
      </c>
    </row>
    <row r="17" spans="1:41" ht="15" customHeight="1" thickBot="1">
      <c r="A17" s="21"/>
      <c r="B17" s="22"/>
      <c r="C17" s="21"/>
      <c r="D17" s="28"/>
      <c r="E17" s="29"/>
      <c r="F17" s="20"/>
      <c r="G17" s="2"/>
      <c r="H17" s="21"/>
      <c r="I17" s="22"/>
      <c r="J17" s="21"/>
      <c r="K17" s="28"/>
      <c r="L17" s="29"/>
      <c r="M17" s="20"/>
      <c r="N17" s="2"/>
      <c r="O17" s="16"/>
      <c r="P17" s="17"/>
      <c r="Q17" s="16"/>
      <c r="R17" s="30"/>
      <c r="S17" s="19"/>
      <c r="T17" s="20"/>
      <c r="V17" s="397"/>
      <c r="W17" s="398"/>
      <c r="X17" s="397"/>
      <c r="Y17" s="397"/>
      <c r="Z17" s="399"/>
      <c r="AA17" s="399"/>
      <c r="AC17" s="16"/>
      <c r="AD17" s="17"/>
      <c r="AE17" s="16"/>
      <c r="AF17" s="30"/>
      <c r="AG17" s="19"/>
      <c r="AH17" s="20"/>
      <c r="AJ17" s="16"/>
      <c r="AK17" s="17"/>
      <c r="AL17" s="16"/>
      <c r="AM17" s="30"/>
      <c r="AN17" s="19"/>
      <c r="AO17" s="20"/>
    </row>
    <row r="18" spans="1:41" ht="15.75" customHeight="1" thickBot="1">
      <c r="A18" s="23"/>
      <c r="B18" s="24"/>
      <c r="C18" s="23"/>
      <c r="D18" s="23"/>
      <c r="E18" s="25"/>
      <c r="F18" s="25"/>
      <c r="G18" s="2"/>
      <c r="H18" s="23"/>
      <c r="I18" s="24"/>
      <c r="J18" s="23"/>
      <c r="K18" s="23"/>
      <c r="L18" s="25"/>
      <c r="M18" s="25"/>
      <c r="N18" s="2"/>
      <c r="O18" s="31"/>
      <c r="P18" s="32"/>
      <c r="Q18" s="31"/>
      <c r="R18" s="33"/>
      <c r="S18" s="34"/>
      <c r="T18" s="25"/>
      <c r="V18" s="714" t="s">
        <v>18</v>
      </c>
      <c r="W18" s="715"/>
      <c r="X18" s="715"/>
      <c r="Y18" s="715"/>
      <c r="Z18" s="716"/>
      <c r="AA18" s="35">
        <f>SUM(AA16:AA17)</f>
        <v>98.685187585034001</v>
      </c>
      <c r="AC18" s="31"/>
      <c r="AD18" s="32"/>
      <c r="AE18" s="31"/>
      <c r="AF18" s="33"/>
      <c r="AG18" s="34"/>
      <c r="AH18" s="25"/>
      <c r="AJ18" s="31"/>
      <c r="AK18" s="32"/>
      <c r="AL18" s="31"/>
      <c r="AM18" s="33"/>
      <c r="AN18" s="34"/>
      <c r="AO18" s="25"/>
    </row>
    <row r="19" spans="1:41" ht="15.75" customHeight="1" thickBot="1">
      <c r="A19" s="714" t="s">
        <v>18</v>
      </c>
      <c r="B19" s="715"/>
      <c r="C19" s="715"/>
      <c r="D19" s="715"/>
      <c r="E19" s="716"/>
      <c r="F19" s="35">
        <f>SUM(F16:F18)</f>
        <v>96.324637897999992</v>
      </c>
      <c r="G19" s="2"/>
      <c r="H19" s="714" t="s">
        <v>18</v>
      </c>
      <c r="I19" s="715"/>
      <c r="J19" s="715"/>
      <c r="K19" s="715"/>
      <c r="L19" s="716"/>
      <c r="M19" s="35">
        <f>SUM(M16:M18)</f>
        <v>36.266806437499994</v>
      </c>
      <c r="N19" s="2"/>
      <c r="O19" s="714" t="s">
        <v>18</v>
      </c>
      <c r="P19" s="715"/>
      <c r="Q19" s="715"/>
      <c r="R19" s="715"/>
      <c r="S19" s="716"/>
      <c r="T19" s="35">
        <f>SUM(T16:T18)</f>
        <v>128.94864511111109</v>
      </c>
      <c r="V19" s="717" t="s">
        <v>23</v>
      </c>
      <c r="W19" s="718"/>
      <c r="X19" s="718"/>
      <c r="Y19" s="718"/>
      <c r="Z19" s="718"/>
      <c r="AA19" s="719"/>
      <c r="AC19" s="714" t="s">
        <v>18</v>
      </c>
      <c r="AD19" s="715"/>
      <c r="AE19" s="715"/>
      <c r="AF19" s="715"/>
      <c r="AG19" s="716"/>
      <c r="AH19" s="35">
        <f>SUM(AH16:AH18)</f>
        <v>128.94864511111109</v>
      </c>
      <c r="AJ19" s="714" t="s">
        <v>18</v>
      </c>
      <c r="AK19" s="715"/>
      <c r="AL19" s="715"/>
      <c r="AM19" s="715"/>
      <c r="AN19" s="716"/>
      <c r="AO19" s="35">
        <f>SUM(AO16:AO18)</f>
        <v>422.01374763636358</v>
      </c>
    </row>
    <row r="20" spans="1:41" ht="15.75" customHeight="1" thickBot="1">
      <c r="A20" s="717" t="s">
        <v>23</v>
      </c>
      <c r="B20" s="718"/>
      <c r="C20" s="718"/>
      <c r="D20" s="718"/>
      <c r="E20" s="718"/>
      <c r="F20" s="719"/>
      <c r="G20" s="2"/>
      <c r="H20" s="717" t="s">
        <v>23</v>
      </c>
      <c r="I20" s="718"/>
      <c r="J20" s="718"/>
      <c r="K20" s="718"/>
      <c r="L20" s="718"/>
      <c r="M20" s="719"/>
      <c r="N20" s="2"/>
      <c r="O20" s="717" t="s">
        <v>23</v>
      </c>
      <c r="P20" s="718"/>
      <c r="Q20" s="718"/>
      <c r="R20" s="718"/>
      <c r="S20" s="718"/>
      <c r="T20" s="719"/>
      <c r="V20" s="389" t="s">
        <v>1</v>
      </c>
      <c r="W20" s="390" t="s">
        <v>2</v>
      </c>
      <c r="X20" s="389" t="s">
        <v>3</v>
      </c>
      <c r="Y20" s="389" t="s">
        <v>9</v>
      </c>
      <c r="Z20" s="389" t="s">
        <v>10</v>
      </c>
      <c r="AA20" s="389" t="s">
        <v>11</v>
      </c>
      <c r="AC20" s="717" t="s">
        <v>23</v>
      </c>
      <c r="AD20" s="718"/>
      <c r="AE20" s="718"/>
      <c r="AF20" s="718"/>
      <c r="AG20" s="718"/>
      <c r="AH20" s="719"/>
      <c r="AJ20" s="717" t="s">
        <v>23</v>
      </c>
      <c r="AK20" s="718"/>
      <c r="AL20" s="718"/>
      <c r="AM20" s="718"/>
      <c r="AN20" s="718"/>
      <c r="AO20" s="719"/>
    </row>
    <row r="21" spans="1:41" ht="15.75" customHeight="1" thickBot="1">
      <c r="A21" s="8" t="s">
        <v>1</v>
      </c>
      <c r="B21" s="5" t="s">
        <v>2</v>
      </c>
      <c r="C21" s="8" t="s">
        <v>3</v>
      </c>
      <c r="D21" s="8" t="s">
        <v>9</v>
      </c>
      <c r="E21" s="8" t="s">
        <v>10</v>
      </c>
      <c r="F21" s="8" t="s">
        <v>11</v>
      </c>
      <c r="G21" s="2"/>
      <c r="H21" s="8" t="s">
        <v>1</v>
      </c>
      <c r="I21" s="5" t="s">
        <v>2</v>
      </c>
      <c r="J21" s="8" t="s">
        <v>3</v>
      </c>
      <c r="K21" s="8" t="s">
        <v>9</v>
      </c>
      <c r="L21" s="8" t="s">
        <v>10</v>
      </c>
      <c r="M21" s="8" t="s">
        <v>11</v>
      </c>
      <c r="N21" s="2"/>
      <c r="O21" s="8" t="s">
        <v>1</v>
      </c>
      <c r="P21" s="5" t="s">
        <v>2</v>
      </c>
      <c r="Q21" s="8" t="s">
        <v>3</v>
      </c>
      <c r="R21" s="8" t="s">
        <v>9</v>
      </c>
      <c r="S21" s="8" t="s">
        <v>10</v>
      </c>
      <c r="T21" s="8" t="s">
        <v>11</v>
      </c>
      <c r="V21" s="406" t="s">
        <v>24</v>
      </c>
      <c r="W21" s="407" t="s">
        <v>23</v>
      </c>
      <c r="X21" s="406" t="s">
        <v>25</v>
      </c>
      <c r="Y21" s="408">
        <v>0.03</v>
      </c>
      <c r="Z21" s="409">
        <f>AA16</f>
        <v>98.685187585034001</v>
      </c>
      <c r="AA21" s="409">
        <f>Y21*Z21</f>
        <v>2.9605556275510199</v>
      </c>
      <c r="AC21" s="8" t="s">
        <v>1</v>
      </c>
      <c r="AD21" s="5" t="s">
        <v>2</v>
      </c>
      <c r="AE21" s="8" t="s">
        <v>3</v>
      </c>
      <c r="AF21" s="8" t="s">
        <v>9</v>
      </c>
      <c r="AG21" s="8" t="s">
        <v>10</v>
      </c>
      <c r="AH21" s="8" t="s">
        <v>11</v>
      </c>
      <c r="AJ21" s="8" t="s">
        <v>1</v>
      </c>
      <c r="AK21" s="5" t="s">
        <v>2</v>
      </c>
      <c r="AL21" s="8" t="s">
        <v>3</v>
      </c>
      <c r="AM21" s="8" t="s">
        <v>9</v>
      </c>
      <c r="AN21" s="8" t="s">
        <v>10</v>
      </c>
      <c r="AO21" s="8" t="s">
        <v>11</v>
      </c>
    </row>
    <row r="22" spans="1:41" ht="15.75" customHeight="1" thickBot="1">
      <c r="A22" s="36" t="s">
        <v>24</v>
      </c>
      <c r="B22" s="37" t="s">
        <v>23</v>
      </c>
      <c r="C22" s="36" t="s">
        <v>25</v>
      </c>
      <c r="D22" s="38">
        <v>0.03</v>
      </c>
      <c r="E22" s="39">
        <f>F16</f>
        <v>96.324637897999992</v>
      </c>
      <c r="F22" s="39">
        <f>(D22*E22)</f>
        <v>2.8897391369399998</v>
      </c>
      <c r="G22" s="2"/>
      <c r="H22" s="36" t="s">
        <v>24</v>
      </c>
      <c r="I22" s="37" t="s">
        <v>23</v>
      </c>
      <c r="J22" s="36" t="s">
        <v>25</v>
      </c>
      <c r="K22" s="38">
        <v>0.03</v>
      </c>
      <c r="L22" s="39">
        <f>M16</f>
        <v>36.266806437499994</v>
      </c>
      <c r="M22" s="39">
        <f>(K22*L22)</f>
        <v>1.0880041931249997</v>
      </c>
      <c r="N22" s="2"/>
      <c r="O22" s="36" t="s">
        <v>24</v>
      </c>
      <c r="P22" s="37" t="s">
        <v>23</v>
      </c>
      <c r="Q22" s="36" t="s">
        <v>25</v>
      </c>
      <c r="R22" s="38">
        <v>0.03</v>
      </c>
      <c r="S22" s="39">
        <f>T16</f>
        <v>128.94864511111109</v>
      </c>
      <c r="T22" s="39">
        <f>(R22*S22)</f>
        <v>3.8684593533333325</v>
      </c>
      <c r="V22" s="720" t="s">
        <v>26</v>
      </c>
      <c r="W22" s="721"/>
      <c r="X22" s="721"/>
      <c r="Y22" s="721"/>
      <c r="Z22" s="722"/>
      <c r="AA22" s="40">
        <f>SUM(AA21)</f>
        <v>2.9605556275510199</v>
      </c>
      <c r="AC22" s="36" t="s">
        <v>24</v>
      </c>
      <c r="AD22" s="37" t="s">
        <v>23</v>
      </c>
      <c r="AE22" s="36" t="s">
        <v>25</v>
      </c>
      <c r="AF22" s="38">
        <v>0.03</v>
      </c>
      <c r="AG22" s="39">
        <f>AH16</f>
        <v>128.94864511111109</v>
      </c>
      <c r="AH22" s="39">
        <f>(AF22*AG22)</f>
        <v>3.8684593533333325</v>
      </c>
      <c r="AJ22" s="36" t="s">
        <v>24</v>
      </c>
      <c r="AK22" s="37" t="s">
        <v>23</v>
      </c>
      <c r="AL22" s="36" t="s">
        <v>25</v>
      </c>
      <c r="AM22" s="38">
        <v>0.03</v>
      </c>
      <c r="AN22" s="39">
        <f>AO16</f>
        <v>422.01374763636358</v>
      </c>
      <c r="AO22" s="39">
        <f>(AM22*AN22)</f>
        <v>12.660412429090906</v>
      </c>
    </row>
    <row r="23" spans="1:41" ht="15.75" customHeight="1" thickBot="1">
      <c r="A23" s="720" t="s">
        <v>26</v>
      </c>
      <c r="B23" s="721"/>
      <c r="C23" s="721"/>
      <c r="D23" s="721"/>
      <c r="E23" s="722"/>
      <c r="F23" s="40">
        <f>SUM(F22)</f>
        <v>2.8897391369399998</v>
      </c>
      <c r="G23" s="2"/>
      <c r="H23" s="720" t="s">
        <v>26</v>
      </c>
      <c r="I23" s="721"/>
      <c r="J23" s="721"/>
      <c r="K23" s="721"/>
      <c r="L23" s="722"/>
      <c r="M23" s="40">
        <f>SUM(M22)</f>
        <v>1.0880041931249997</v>
      </c>
      <c r="N23" s="2"/>
      <c r="O23" s="720" t="s">
        <v>26</v>
      </c>
      <c r="P23" s="721"/>
      <c r="Q23" s="721"/>
      <c r="R23" s="721"/>
      <c r="S23" s="722"/>
      <c r="T23" s="40">
        <f>SUM(T22)</f>
        <v>3.8684593533333325</v>
      </c>
      <c r="V23" s="723" t="s">
        <v>27</v>
      </c>
      <c r="W23" s="724"/>
      <c r="X23" s="724"/>
      <c r="Y23" s="724"/>
      <c r="Z23" s="724"/>
      <c r="AA23" s="725"/>
      <c r="AC23" s="720" t="s">
        <v>26</v>
      </c>
      <c r="AD23" s="721"/>
      <c r="AE23" s="721"/>
      <c r="AF23" s="721"/>
      <c r="AG23" s="722"/>
      <c r="AH23" s="40">
        <f>SUM(AH22)</f>
        <v>3.8684593533333325</v>
      </c>
      <c r="AJ23" s="720" t="s">
        <v>26</v>
      </c>
      <c r="AK23" s="721"/>
      <c r="AL23" s="721"/>
      <c r="AM23" s="721"/>
      <c r="AN23" s="722"/>
      <c r="AO23" s="40">
        <f>SUM(AO22)</f>
        <v>12.660412429090906</v>
      </c>
    </row>
    <row r="24" spans="1:41" ht="15.75" customHeight="1" thickBot="1">
      <c r="A24" s="723" t="s">
        <v>27</v>
      </c>
      <c r="B24" s="724"/>
      <c r="C24" s="724"/>
      <c r="D24" s="724"/>
      <c r="E24" s="724"/>
      <c r="F24" s="725"/>
      <c r="G24" s="2"/>
      <c r="H24" s="723" t="s">
        <v>27</v>
      </c>
      <c r="I24" s="724"/>
      <c r="J24" s="724"/>
      <c r="K24" s="724"/>
      <c r="L24" s="724"/>
      <c r="M24" s="725"/>
      <c r="N24" s="2"/>
      <c r="O24" s="723" t="s">
        <v>27</v>
      </c>
      <c r="P24" s="724"/>
      <c r="Q24" s="724"/>
      <c r="R24" s="724"/>
      <c r="S24" s="724"/>
      <c r="T24" s="725"/>
      <c r="V24" s="389" t="s">
        <v>1</v>
      </c>
      <c r="W24" s="390" t="s">
        <v>2</v>
      </c>
      <c r="X24" s="389" t="s">
        <v>3</v>
      </c>
      <c r="Y24" s="389" t="s">
        <v>9</v>
      </c>
      <c r="Z24" s="389" t="s">
        <v>10</v>
      </c>
      <c r="AA24" s="389" t="s">
        <v>11</v>
      </c>
      <c r="AC24" s="723" t="s">
        <v>27</v>
      </c>
      <c r="AD24" s="724"/>
      <c r="AE24" s="724"/>
      <c r="AF24" s="724"/>
      <c r="AG24" s="724"/>
      <c r="AH24" s="725"/>
      <c r="AJ24" s="723" t="s">
        <v>27</v>
      </c>
      <c r="AK24" s="724"/>
      <c r="AL24" s="724"/>
      <c r="AM24" s="724"/>
      <c r="AN24" s="724"/>
      <c r="AO24" s="725"/>
    </row>
    <row r="25" spans="1:41" ht="15.75" customHeight="1" thickBot="1">
      <c r="A25" s="8" t="s">
        <v>1</v>
      </c>
      <c r="B25" s="5" t="s">
        <v>2</v>
      </c>
      <c r="C25" s="8" t="s">
        <v>3</v>
      </c>
      <c r="D25" s="8" t="s">
        <v>9</v>
      </c>
      <c r="E25" s="8" t="s">
        <v>10</v>
      </c>
      <c r="F25" s="8" t="s">
        <v>11</v>
      </c>
      <c r="G25" s="2"/>
      <c r="H25" s="8" t="s">
        <v>1</v>
      </c>
      <c r="I25" s="5" t="s">
        <v>2</v>
      </c>
      <c r="J25" s="8" t="s">
        <v>3</v>
      </c>
      <c r="K25" s="8" t="s">
        <v>9</v>
      </c>
      <c r="L25" s="8" t="s">
        <v>10</v>
      </c>
      <c r="M25" s="8" t="s">
        <v>11</v>
      </c>
      <c r="N25" s="2"/>
      <c r="O25" s="8" t="s">
        <v>1</v>
      </c>
      <c r="P25" s="5" t="s">
        <v>2</v>
      </c>
      <c r="Q25" s="8" t="s">
        <v>3</v>
      </c>
      <c r="R25" s="8" t="s">
        <v>9</v>
      </c>
      <c r="S25" s="8" t="s">
        <v>10</v>
      </c>
      <c r="T25" s="8" t="s">
        <v>11</v>
      </c>
      <c r="V25" s="403" t="s">
        <v>28</v>
      </c>
      <c r="W25" s="402" t="s">
        <v>29</v>
      </c>
      <c r="X25" s="403" t="s">
        <v>25</v>
      </c>
      <c r="Y25" s="391">
        <v>0.02</v>
      </c>
      <c r="Z25" s="393">
        <f>AA16</f>
        <v>98.685187585034001</v>
      </c>
      <c r="AA25" s="393">
        <f>Y25*Z25</f>
        <v>1.9737037517006801</v>
      </c>
      <c r="AC25" s="8" t="s">
        <v>1</v>
      </c>
      <c r="AD25" s="5" t="s">
        <v>2</v>
      </c>
      <c r="AE25" s="8" t="s">
        <v>3</v>
      </c>
      <c r="AF25" s="8" t="s">
        <v>9</v>
      </c>
      <c r="AG25" s="8" t="s">
        <v>10</v>
      </c>
      <c r="AH25" s="8" t="s">
        <v>11</v>
      </c>
      <c r="AJ25" s="8" t="s">
        <v>1</v>
      </c>
      <c r="AK25" s="5" t="s">
        <v>2</v>
      </c>
      <c r="AL25" s="8" t="s">
        <v>3</v>
      </c>
      <c r="AM25" s="8" t="s">
        <v>9</v>
      </c>
      <c r="AN25" s="8" t="s">
        <v>10</v>
      </c>
      <c r="AO25" s="8" t="s">
        <v>11</v>
      </c>
    </row>
    <row r="26" spans="1:41" ht="15.6" customHeight="1" thickBot="1">
      <c r="A26" s="9" t="s">
        <v>28</v>
      </c>
      <c r="B26" s="10" t="s">
        <v>29</v>
      </c>
      <c r="C26" s="9" t="s">
        <v>25</v>
      </c>
      <c r="D26" s="11">
        <v>0.02</v>
      </c>
      <c r="E26" s="13">
        <f>F16</f>
        <v>96.324637897999992</v>
      </c>
      <c r="F26" s="13">
        <f>(D26*E26)</f>
        <v>1.92649275796</v>
      </c>
      <c r="G26" s="2"/>
      <c r="H26" s="9" t="s">
        <v>28</v>
      </c>
      <c r="I26" s="10" t="s">
        <v>29</v>
      </c>
      <c r="J26" s="9" t="s">
        <v>25</v>
      </c>
      <c r="K26" s="11">
        <v>0.02</v>
      </c>
      <c r="L26" s="13">
        <f>M16</f>
        <v>36.266806437499994</v>
      </c>
      <c r="M26" s="13">
        <f>(K26*L26)</f>
        <v>0.72533612874999986</v>
      </c>
      <c r="N26" s="2"/>
      <c r="O26" s="236" t="s">
        <v>28</v>
      </c>
      <c r="P26" s="237" t="s">
        <v>29</v>
      </c>
      <c r="Q26" s="236" t="s">
        <v>25</v>
      </c>
      <c r="R26" s="238">
        <v>0.02</v>
      </c>
      <c r="S26" s="239">
        <f>T16</f>
        <v>128.94864511111109</v>
      </c>
      <c r="T26" s="240">
        <f>(R26*S26)</f>
        <v>2.5789729022222221</v>
      </c>
      <c r="V26" s="410" t="s">
        <v>32</v>
      </c>
      <c r="W26" s="411" t="s">
        <v>33</v>
      </c>
      <c r="X26" s="451" t="s">
        <v>888</v>
      </c>
      <c r="Y26" s="412">
        <f>1/3</f>
        <v>0.33333333333333331</v>
      </c>
      <c r="Z26" s="399">
        <f>'ANÁLISIS DE COSTO HORARIO'!C95</f>
        <v>78.062650003496501</v>
      </c>
      <c r="AA26" s="399">
        <f>Y26*Z26</f>
        <v>26.020883334498834</v>
      </c>
      <c r="AC26" s="236" t="s">
        <v>28</v>
      </c>
      <c r="AD26" s="237" t="s">
        <v>29</v>
      </c>
      <c r="AE26" s="236" t="s">
        <v>25</v>
      </c>
      <c r="AF26" s="238">
        <v>0.02</v>
      </c>
      <c r="AG26" s="239">
        <f>AH16</f>
        <v>128.94864511111109</v>
      </c>
      <c r="AH26" s="240">
        <f>(AF26*AG26)</f>
        <v>2.5789729022222221</v>
      </c>
      <c r="AJ26" s="236" t="s">
        <v>28</v>
      </c>
      <c r="AK26" s="237" t="s">
        <v>29</v>
      </c>
      <c r="AL26" s="236" t="s">
        <v>25</v>
      </c>
      <c r="AM26" s="238">
        <v>0.02</v>
      </c>
      <c r="AN26" s="239">
        <f>AO16</f>
        <v>422.01374763636358</v>
      </c>
      <c r="AO26" s="240">
        <f>(AM26*AN26)</f>
        <v>8.4402749527272718</v>
      </c>
    </row>
    <row r="27" spans="1:41" ht="15" customHeight="1" thickBot="1">
      <c r="A27" s="21"/>
      <c r="B27" s="22"/>
      <c r="C27" s="21"/>
      <c r="D27" s="21"/>
      <c r="E27" s="20"/>
      <c r="F27" s="20"/>
      <c r="G27" s="2"/>
      <c r="H27" s="21"/>
      <c r="I27" s="22"/>
      <c r="J27" s="21"/>
      <c r="K27" s="21"/>
      <c r="L27" s="20"/>
      <c r="M27" s="20"/>
      <c r="N27" s="235"/>
      <c r="O27" s="246" t="str">
        <f>'ANÁLISIS DE COSTO HORARIO'!A50:A50</f>
        <v>VIB-001</v>
      </c>
      <c r="P27" s="247" t="s">
        <v>33</v>
      </c>
      <c r="Q27" s="246" t="s">
        <v>31</v>
      </c>
      <c r="R27" s="248">
        <f>1/3</f>
        <v>0.33333333333333331</v>
      </c>
      <c r="S27" s="249">
        <f>'ANÁLISIS DE COSTO HORARIO'!C95</f>
        <v>78.062650003496501</v>
      </c>
      <c r="T27" s="250">
        <f>R27*S27</f>
        <v>26.020883334498834</v>
      </c>
      <c r="V27" s="726" t="s">
        <v>34</v>
      </c>
      <c r="W27" s="727"/>
      <c r="X27" s="727"/>
      <c r="Y27" s="727"/>
      <c r="Z27" s="728"/>
      <c r="AA27" s="41">
        <f>SUM(AA25:AA26)</f>
        <v>27.994587086199513</v>
      </c>
      <c r="AC27" s="236" t="s">
        <v>32</v>
      </c>
      <c r="AD27" s="247" t="s">
        <v>33</v>
      </c>
      <c r="AE27" s="246" t="s">
        <v>31</v>
      </c>
      <c r="AF27" s="248">
        <f>1/3</f>
        <v>0.33333333333333331</v>
      </c>
      <c r="AG27" s="249">
        <f>'ANÁLISIS DE COSTO HORARIO'!C95</f>
        <v>78.062650003496501</v>
      </c>
      <c r="AH27" s="250">
        <f>AF27*AG27</f>
        <v>26.020883334498834</v>
      </c>
      <c r="AJ27" s="236"/>
      <c r="AK27" s="247"/>
      <c r="AL27" s="246"/>
      <c r="AM27" s="248"/>
      <c r="AN27" s="249"/>
      <c r="AO27" s="250"/>
    </row>
    <row r="28" spans="1:41" ht="15.75" customHeight="1" thickBot="1">
      <c r="A28" s="23"/>
      <c r="B28" s="24"/>
      <c r="C28" s="23"/>
      <c r="D28" s="23"/>
      <c r="E28" s="25"/>
      <c r="F28" s="25"/>
      <c r="G28" s="2"/>
      <c r="H28" s="23"/>
      <c r="I28" s="24"/>
      <c r="J28" s="23"/>
      <c r="K28" s="23"/>
      <c r="L28" s="25"/>
      <c r="M28" s="25"/>
      <c r="N28" s="2"/>
      <c r="O28" s="136"/>
      <c r="P28" s="241"/>
      <c r="Q28" s="242"/>
      <c r="R28" s="243"/>
      <c r="S28" s="244"/>
      <c r="T28" s="245"/>
      <c r="V28" s="729" t="s">
        <v>35</v>
      </c>
      <c r="W28" s="730"/>
      <c r="X28" s="730"/>
      <c r="Y28" s="730"/>
      <c r="Z28" s="730"/>
      <c r="AA28" s="731"/>
      <c r="AC28" s="236"/>
      <c r="AD28" s="241"/>
      <c r="AE28" s="242"/>
      <c r="AF28" s="243"/>
      <c r="AG28" s="244"/>
      <c r="AH28" s="245"/>
      <c r="AJ28" s="236"/>
      <c r="AK28" s="241"/>
      <c r="AL28" s="242"/>
      <c r="AM28" s="243"/>
      <c r="AN28" s="244"/>
      <c r="AO28" s="245"/>
    </row>
    <row r="29" spans="1:41" ht="15.75" customHeight="1" thickBot="1">
      <c r="A29" s="726" t="s">
        <v>34</v>
      </c>
      <c r="B29" s="727"/>
      <c r="C29" s="727"/>
      <c r="D29" s="727"/>
      <c r="E29" s="728"/>
      <c r="F29" s="41">
        <f>SUM(F26:F28)</f>
        <v>1.92649275796</v>
      </c>
      <c r="G29" s="2"/>
      <c r="H29" s="726" t="s">
        <v>34</v>
      </c>
      <c r="I29" s="727"/>
      <c r="J29" s="727"/>
      <c r="K29" s="727"/>
      <c r="L29" s="728"/>
      <c r="M29" s="41">
        <f>SUM(M26:M28)</f>
        <v>0.72533612874999986</v>
      </c>
      <c r="N29" s="2"/>
      <c r="O29" s="726" t="s">
        <v>34</v>
      </c>
      <c r="P29" s="727"/>
      <c r="Q29" s="727"/>
      <c r="R29" s="727"/>
      <c r="S29" s="728"/>
      <c r="T29" s="41">
        <f>SUM(T26:T28)</f>
        <v>28.599856236721056</v>
      </c>
      <c r="V29" s="389" t="s">
        <v>1</v>
      </c>
      <c r="W29" s="390" t="s">
        <v>2</v>
      </c>
      <c r="X29" s="389" t="s">
        <v>3</v>
      </c>
      <c r="Y29" s="389" t="s">
        <v>9</v>
      </c>
      <c r="Z29" s="389" t="s">
        <v>10</v>
      </c>
      <c r="AA29" s="389" t="s">
        <v>11</v>
      </c>
      <c r="AC29" s="726" t="s">
        <v>34</v>
      </c>
      <c r="AD29" s="727"/>
      <c r="AE29" s="727"/>
      <c r="AF29" s="727"/>
      <c r="AG29" s="728"/>
      <c r="AH29" s="41">
        <f>SUM(AH26:AH28)</f>
        <v>28.599856236721056</v>
      </c>
      <c r="AJ29" s="726" t="s">
        <v>34</v>
      </c>
      <c r="AK29" s="727"/>
      <c r="AL29" s="727"/>
      <c r="AM29" s="727"/>
      <c r="AN29" s="728"/>
      <c r="AO29" s="41">
        <f>SUM(AO26:AO28)</f>
        <v>8.4402749527272718</v>
      </c>
    </row>
    <row r="30" spans="1:41" ht="15.75" customHeight="1" thickBot="1">
      <c r="A30" s="729" t="s">
        <v>35</v>
      </c>
      <c r="B30" s="730"/>
      <c r="C30" s="730"/>
      <c r="D30" s="730"/>
      <c r="E30" s="730"/>
      <c r="F30" s="731"/>
      <c r="G30" s="2"/>
      <c r="H30" s="729" t="s">
        <v>35</v>
      </c>
      <c r="I30" s="730"/>
      <c r="J30" s="730"/>
      <c r="K30" s="730"/>
      <c r="L30" s="730"/>
      <c r="M30" s="731"/>
      <c r="N30" s="2"/>
      <c r="O30" s="729" t="s">
        <v>35</v>
      </c>
      <c r="P30" s="730"/>
      <c r="Q30" s="730"/>
      <c r="R30" s="730"/>
      <c r="S30" s="730"/>
      <c r="T30" s="731"/>
      <c r="V30" s="401" t="str">
        <f>AUXILIARES!BE76</f>
        <v>CONCR-009</v>
      </c>
      <c r="W30" s="392" t="s">
        <v>844</v>
      </c>
      <c r="X30" s="403" t="s">
        <v>17</v>
      </c>
      <c r="Y30" s="413">
        <f>(0.25*0.52*5)*(1.05)</f>
        <v>0.68250000000000011</v>
      </c>
      <c r="Z30" s="414">
        <f>AUXILIARES!BJ85</f>
        <v>2058.9166030320198</v>
      </c>
      <c r="AA30" s="393">
        <f>Y30*Z30</f>
        <v>1405.2105815693537</v>
      </c>
      <c r="AC30" s="729" t="s">
        <v>35</v>
      </c>
      <c r="AD30" s="730"/>
      <c r="AE30" s="730"/>
      <c r="AF30" s="730"/>
      <c r="AG30" s="730"/>
      <c r="AH30" s="731"/>
      <c r="AJ30" s="729" t="s">
        <v>35</v>
      </c>
      <c r="AK30" s="730"/>
      <c r="AL30" s="730"/>
      <c r="AM30" s="730"/>
      <c r="AN30" s="730"/>
      <c r="AO30" s="731"/>
    </row>
    <row r="31" spans="1:41" thickBot="1">
      <c r="A31" s="8" t="s">
        <v>1</v>
      </c>
      <c r="B31" s="5" t="s">
        <v>2</v>
      </c>
      <c r="C31" s="8" t="s">
        <v>3</v>
      </c>
      <c r="D31" s="8" t="s">
        <v>9</v>
      </c>
      <c r="E31" s="8" t="s">
        <v>10</v>
      </c>
      <c r="F31" s="8" t="s">
        <v>11</v>
      </c>
      <c r="G31" s="2"/>
      <c r="H31" s="8" t="s">
        <v>1</v>
      </c>
      <c r="I31" s="5" t="s">
        <v>2</v>
      </c>
      <c r="J31" s="8" t="s">
        <v>3</v>
      </c>
      <c r="K31" s="8" t="s">
        <v>9</v>
      </c>
      <c r="L31" s="8" t="s">
        <v>10</v>
      </c>
      <c r="M31" s="8" t="s">
        <v>11</v>
      </c>
      <c r="N31" s="2"/>
      <c r="O31" s="8" t="s">
        <v>1</v>
      </c>
      <c r="P31" s="5" t="s">
        <v>2</v>
      </c>
      <c r="Q31" s="8" t="s">
        <v>3</v>
      </c>
      <c r="R31" s="8" t="s">
        <v>9</v>
      </c>
      <c r="S31" s="8" t="s">
        <v>10</v>
      </c>
      <c r="T31" s="8" t="s">
        <v>11</v>
      </c>
      <c r="V31" s="415" t="s">
        <v>337</v>
      </c>
      <c r="W31" s="416" t="s">
        <v>849</v>
      </c>
      <c r="X31" s="415" t="s">
        <v>39</v>
      </c>
      <c r="Y31" s="415">
        <f>((5+0.15+0.15)*8)*1*1.03</f>
        <v>43.672000000000004</v>
      </c>
      <c r="Z31" s="417">
        <f>AUXILIARES!M94</f>
        <v>20.615358962999998</v>
      </c>
      <c r="AA31" s="396">
        <f>Y31*Z31</f>
        <v>900.31395663213607</v>
      </c>
      <c r="AC31" s="8" t="s">
        <v>1</v>
      </c>
      <c r="AD31" s="5" t="s">
        <v>2</v>
      </c>
      <c r="AE31" s="8" t="s">
        <v>3</v>
      </c>
      <c r="AF31" s="8" t="s">
        <v>9</v>
      </c>
      <c r="AG31" s="8" t="s">
        <v>10</v>
      </c>
      <c r="AH31" s="8" t="s">
        <v>11</v>
      </c>
      <c r="AJ31" s="8" t="s">
        <v>1</v>
      </c>
      <c r="AK31" s="5" t="s">
        <v>2</v>
      </c>
      <c r="AL31" s="8" t="s">
        <v>3</v>
      </c>
      <c r="AM31" s="8" t="s">
        <v>9</v>
      </c>
      <c r="AN31" s="8" t="s">
        <v>10</v>
      </c>
      <c r="AO31" s="8" t="s">
        <v>11</v>
      </c>
    </row>
    <row r="32" spans="1:41" ht="15" customHeight="1">
      <c r="A32" s="9" t="str">
        <f>AUXILIARES!A2</f>
        <v>MORT-001</v>
      </c>
      <c r="B32" s="10" t="s">
        <v>36</v>
      </c>
      <c r="C32" s="9" t="s">
        <v>17</v>
      </c>
      <c r="D32" s="11">
        <v>3.1699999999999999E-2</v>
      </c>
      <c r="E32" s="12">
        <f>AUXILIARES!F7</f>
        <v>1479.9599999999998</v>
      </c>
      <c r="F32" s="13">
        <f>(D32*E32)</f>
        <v>46.914731999999994</v>
      </c>
      <c r="G32" s="2"/>
      <c r="H32" s="9" t="str">
        <f>AUXILIARES!A76</f>
        <v>CONCR-001</v>
      </c>
      <c r="I32" s="10" t="s">
        <v>37</v>
      </c>
      <c r="J32" s="9" t="s">
        <v>17</v>
      </c>
      <c r="K32" s="11">
        <v>5.2499999999999998E-2</v>
      </c>
      <c r="L32" s="12">
        <f>AUXILIARES!F85</f>
        <v>1816.1866030320202</v>
      </c>
      <c r="M32" s="13">
        <f>K32*L32</f>
        <v>95.349796659181052</v>
      </c>
      <c r="N32" s="2"/>
      <c r="O32" s="9" t="str">
        <f>AUXILIARES!A87</f>
        <v>ACE-001</v>
      </c>
      <c r="P32" s="10" t="s">
        <v>38</v>
      </c>
      <c r="Q32" s="9" t="s">
        <v>39</v>
      </c>
      <c r="R32" s="11">
        <v>8.8769500000000008</v>
      </c>
      <c r="S32" s="12">
        <f>AUXILIARES!F94</f>
        <v>28.427000875454546</v>
      </c>
      <c r="T32" s="13">
        <f>R32*S32</f>
        <v>252.34506542136626</v>
      </c>
      <c r="V32" s="518" t="s">
        <v>198</v>
      </c>
      <c r="W32" s="419" t="s">
        <v>850</v>
      </c>
      <c r="X32" s="418" t="s">
        <v>39</v>
      </c>
      <c r="Y32" s="420">
        <f>((0.47+0.2+0.47+0.2+0.15+0.15)*26)*0.57*1.03</f>
        <v>25.033943999999995</v>
      </c>
      <c r="Z32" s="421">
        <f>AUXILIARES!T94</f>
        <v>28.427000875454546</v>
      </c>
      <c r="AA32" s="422">
        <f>Y32*Z32</f>
        <v>711.63994800407988</v>
      </c>
      <c r="AC32" s="9" t="s">
        <v>358</v>
      </c>
      <c r="AD32" s="10" t="s">
        <v>902</v>
      </c>
      <c r="AE32" s="9" t="s">
        <v>42</v>
      </c>
      <c r="AF32" s="11">
        <v>1.05</v>
      </c>
      <c r="AG32" s="12">
        <f>MATERIALES!E28</f>
        <v>23.2759</v>
      </c>
      <c r="AH32" s="13">
        <f>AF32*AG32</f>
        <v>24.439695</v>
      </c>
      <c r="AJ32" s="9" t="s">
        <v>150</v>
      </c>
      <c r="AK32" s="10" t="s">
        <v>1358</v>
      </c>
      <c r="AL32" s="9" t="s">
        <v>17</v>
      </c>
      <c r="AM32" s="11">
        <v>0.2</v>
      </c>
      <c r="AN32" s="12">
        <f>AUXILIARES!M74</f>
        <v>1341.54</v>
      </c>
      <c r="AO32" s="13">
        <f>AM32*AN32</f>
        <v>268.30799999999999</v>
      </c>
    </row>
    <row r="33" spans="1:41" ht="38.25" customHeight="1" thickBot="1">
      <c r="A33" s="42"/>
      <c r="B33" s="43"/>
      <c r="C33" s="42"/>
      <c r="D33" s="42"/>
      <c r="E33" s="42"/>
      <c r="F33" s="20"/>
      <c r="G33" s="2"/>
      <c r="H33" s="42"/>
      <c r="I33" s="43"/>
      <c r="J33" s="42"/>
      <c r="K33" s="42"/>
      <c r="L33" s="44"/>
      <c r="M33" s="20"/>
      <c r="N33" s="2"/>
      <c r="O33" s="16" t="str">
        <f>AUXILIARES!BE76</f>
        <v>CONCR-009</v>
      </c>
      <c r="P33" s="17" t="s">
        <v>40</v>
      </c>
      <c r="Q33" s="16" t="s">
        <v>17</v>
      </c>
      <c r="R33" s="18">
        <v>0.105</v>
      </c>
      <c r="S33" s="19">
        <f>AUXILIARES!BJ85</f>
        <v>2058.9166030320198</v>
      </c>
      <c r="T33" s="20">
        <f>R33*S33</f>
        <v>216.18624331836207</v>
      </c>
      <c r="V33" s="451" t="s">
        <v>1089</v>
      </c>
      <c r="W33" s="423" t="s">
        <v>851</v>
      </c>
      <c r="X33" s="410" t="s">
        <v>42</v>
      </c>
      <c r="Y33" s="397">
        <f>((5*0.52)*2)+(5*0.25)</f>
        <v>6.45</v>
      </c>
      <c r="Z33" s="424">
        <f>AUXILIARES!F124</f>
        <v>549.19206208706919</v>
      </c>
      <c r="AA33" s="399">
        <f>Y33*Z33</f>
        <v>3542.2888004615966</v>
      </c>
      <c r="AC33" s="466" t="s">
        <v>178</v>
      </c>
      <c r="AD33" s="17" t="s">
        <v>903</v>
      </c>
      <c r="AE33" s="16" t="s">
        <v>17</v>
      </c>
      <c r="AF33" s="18">
        <v>5.2499999999999998E-2</v>
      </c>
      <c r="AG33" s="19">
        <f>AUXILIARES!CL85</f>
        <v>2361.2216030320201</v>
      </c>
      <c r="AH33" s="20">
        <f>AF33*AG33</f>
        <v>123.96413415918104</v>
      </c>
      <c r="AJ33" s="466"/>
      <c r="AK33" s="17"/>
      <c r="AL33" s="16"/>
      <c r="AM33" s="18"/>
      <c r="AN33" s="19"/>
      <c r="AO33" s="20"/>
    </row>
    <row r="34" spans="1:41" thickBot="1">
      <c r="A34" s="45"/>
      <c r="B34" s="46"/>
      <c r="C34" s="45"/>
      <c r="D34" s="45"/>
      <c r="E34" s="45"/>
      <c r="F34" s="25"/>
      <c r="G34" s="2"/>
      <c r="H34" s="45"/>
      <c r="I34" s="46"/>
      <c r="J34" s="45"/>
      <c r="K34" s="45"/>
      <c r="L34" s="47"/>
      <c r="M34" s="25"/>
      <c r="N34" s="2"/>
      <c r="O34" s="31" t="str">
        <f>AUXILIARES!A96</f>
        <v>CIMBR-001</v>
      </c>
      <c r="P34" s="32" t="s">
        <v>41</v>
      </c>
      <c r="Q34" s="31" t="s">
        <v>42</v>
      </c>
      <c r="R34" s="48">
        <v>1</v>
      </c>
      <c r="S34" s="34">
        <f>AUXILIARES!F108</f>
        <v>499.51866179072772</v>
      </c>
      <c r="T34" s="25">
        <f>R34*S34</f>
        <v>499.51866179072772</v>
      </c>
      <c r="V34" s="732" t="s">
        <v>43</v>
      </c>
      <c r="W34" s="746"/>
      <c r="X34" s="746"/>
      <c r="Y34" s="746"/>
      <c r="Z34" s="747"/>
      <c r="AA34" s="49">
        <f>SUM(AA30:AA33)</f>
        <v>6559.453286667167</v>
      </c>
      <c r="AC34" s="732" t="s">
        <v>43</v>
      </c>
      <c r="AD34" s="733"/>
      <c r="AE34" s="733"/>
      <c r="AF34" s="733"/>
      <c r="AG34" s="734"/>
      <c r="AH34" s="49">
        <f>SUM(AH32:AH33)</f>
        <v>148.40382915918104</v>
      </c>
      <c r="AJ34" s="732" t="s">
        <v>43</v>
      </c>
      <c r="AK34" s="733"/>
      <c r="AL34" s="733"/>
      <c r="AM34" s="733"/>
      <c r="AN34" s="734"/>
      <c r="AO34" s="49">
        <f>SUM(AO32:AO33)</f>
        <v>268.30799999999999</v>
      </c>
    </row>
    <row r="35" spans="1:41" ht="15.75" customHeight="1" thickBot="1">
      <c r="A35" s="732" t="s">
        <v>43</v>
      </c>
      <c r="B35" s="746"/>
      <c r="C35" s="746"/>
      <c r="D35" s="746"/>
      <c r="E35" s="747"/>
      <c r="F35" s="49">
        <f>SUM(F32:F34)</f>
        <v>46.914731999999994</v>
      </c>
      <c r="G35" s="2"/>
      <c r="H35" s="732" t="s">
        <v>43</v>
      </c>
      <c r="I35" s="746"/>
      <c r="J35" s="746"/>
      <c r="K35" s="746"/>
      <c r="L35" s="747"/>
      <c r="M35" s="49">
        <f>SUM(M32:M34)</f>
        <v>95.349796659181052</v>
      </c>
      <c r="N35" s="2"/>
      <c r="O35" s="732" t="s">
        <v>43</v>
      </c>
      <c r="P35" s="746"/>
      <c r="Q35" s="746"/>
      <c r="R35" s="746"/>
      <c r="S35" s="747"/>
      <c r="T35" s="49">
        <f>SUM(T32:T34)</f>
        <v>968.04997053045599</v>
      </c>
      <c r="V35" s="425"/>
      <c r="W35" s="426"/>
      <c r="X35" s="427"/>
      <c r="Y35" s="427"/>
      <c r="Z35" s="427"/>
      <c r="AA35" s="427"/>
      <c r="AC35" s="50"/>
      <c r="AD35" s="51"/>
      <c r="AE35" s="52"/>
      <c r="AF35" s="52"/>
      <c r="AG35" s="52"/>
      <c r="AH35" s="52"/>
      <c r="AJ35" s="50"/>
      <c r="AK35" s="51"/>
      <c r="AL35" s="52"/>
      <c r="AM35" s="52"/>
      <c r="AN35" s="52"/>
      <c r="AO35" s="52"/>
    </row>
    <row r="36" spans="1:41" ht="15.75" customHeight="1" thickBot="1">
      <c r="A36" s="50"/>
      <c r="B36" s="51"/>
      <c r="C36" s="52"/>
      <c r="D36" s="52"/>
      <c r="E36" s="52"/>
      <c r="F36" s="52"/>
      <c r="G36" s="53"/>
      <c r="H36" s="50"/>
      <c r="I36" s="51"/>
      <c r="J36" s="52"/>
      <c r="K36" s="52"/>
      <c r="L36" s="52"/>
      <c r="M36" s="52"/>
      <c r="N36" s="53"/>
      <c r="O36" s="50"/>
      <c r="P36" s="51"/>
      <c r="Q36" s="52"/>
      <c r="R36" s="52"/>
      <c r="S36" s="52"/>
      <c r="T36" s="52"/>
      <c r="V36" s="765" t="s">
        <v>44</v>
      </c>
      <c r="W36" s="766"/>
      <c r="X36" s="766"/>
      <c r="Y36" s="766"/>
      <c r="Z36" s="767"/>
      <c r="AA36" s="400">
        <f>SUM(AA34,AA13,AA18,AA22,AA27)</f>
        <v>6689.0936169659517</v>
      </c>
      <c r="AC36" s="735" t="s">
        <v>44</v>
      </c>
      <c r="AD36" s="736"/>
      <c r="AE36" s="736"/>
      <c r="AF36" s="736"/>
      <c r="AG36" s="737"/>
      <c r="AH36" s="54">
        <f>SUM(AH34,AH13,AH19,AH23,AH29)</f>
        <v>540.50838986034648</v>
      </c>
      <c r="AJ36" s="735" t="s">
        <v>44</v>
      </c>
      <c r="AK36" s="736"/>
      <c r="AL36" s="736"/>
      <c r="AM36" s="736"/>
      <c r="AN36" s="737"/>
      <c r="AO36" s="54">
        <f>SUM(AO34,AO13,AO19,AO23,AO29)</f>
        <v>843.60243501818172</v>
      </c>
    </row>
    <row r="37" spans="1:41" ht="15.75" customHeight="1" thickBot="1">
      <c r="A37" s="687" t="s">
        <v>44</v>
      </c>
      <c r="B37" s="748"/>
      <c r="C37" s="748"/>
      <c r="D37" s="748"/>
      <c r="E37" s="749"/>
      <c r="F37" s="54">
        <f>SUM(F35,F13,F19,F23,F29)</f>
        <v>220.67920179289999</v>
      </c>
      <c r="G37" s="2"/>
      <c r="H37" s="687" t="s">
        <v>44</v>
      </c>
      <c r="I37" s="748"/>
      <c r="J37" s="748"/>
      <c r="K37" s="748"/>
      <c r="L37" s="749"/>
      <c r="M37" s="54">
        <f>SUM(M35,M13,M19,M23,M29)</f>
        <v>133.42994341855604</v>
      </c>
      <c r="N37" s="2"/>
      <c r="O37" s="687" t="s">
        <v>44</v>
      </c>
      <c r="P37" s="748"/>
      <c r="Q37" s="748"/>
      <c r="R37" s="748"/>
      <c r="S37" s="749"/>
      <c r="T37" s="54">
        <f>SUM(T35,T13,T19,T23,T29)</f>
        <v>1129.4669312316214</v>
      </c>
      <c r="V37" s="765" t="s">
        <v>45</v>
      </c>
      <c r="W37" s="768"/>
      <c r="X37" s="768"/>
      <c r="Y37" s="768"/>
      <c r="Z37" s="428"/>
      <c r="AA37" s="400"/>
      <c r="AC37" s="735" t="s">
        <v>45</v>
      </c>
      <c r="AD37" s="736"/>
      <c r="AE37" s="736"/>
      <c r="AF37" s="736"/>
      <c r="AG37" s="737"/>
      <c r="AH37" s="54"/>
      <c r="AJ37" s="735" t="s">
        <v>45</v>
      </c>
      <c r="AK37" s="736"/>
      <c r="AL37" s="736"/>
      <c r="AM37" s="736"/>
      <c r="AN37" s="737"/>
      <c r="AO37" s="54"/>
    </row>
    <row r="38" spans="1:41" ht="15.75" customHeight="1" thickBot="1">
      <c r="A38" s="687" t="s">
        <v>45</v>
      </c>
      <c r="B38" s="688"/>
      <c r="C38" s="688"/>
      <c r="D38" s="688"/>
      <c r="E38" s="55"/>
      <c r="F38" s="54"/>
      <c r="G38" s="2"/>
      <c r="H38" s="687" t="s">
        <v>45</v>
      </c>
      <c r="I38" s="688"/>
      <c r="J38" s="688"/>
      <c r="K38" s="688"/>
      <c r="L38" s="55"/>
      <c r="M38" s="54"/>
      <c r="N38" s="2"/>
      <c r="O38" s="687" t="s">
        <v>45</v>
      </c>
      <c r="P38" s="688"/>
      <c r="Q38" s="688"/>
      <c r="R38" s="688"/>
      <c r="S38" s="55"/>
      <c r="T38" s="54"/>
      <c r="V38" s="765" t="s">
        <v>46</v>
      </c>
      <c r="W38" s="768"/>
      <c r="X38" s="768"/>
      <c r="Y38" s="768"/>
      <c r="Z38" s="769"/>
      <c r="AA38" s="400"/>
      <c r="AC38" s="735" t="s">
        <v>46</v>
      </c>
      <c r="AD38" s="736"/>
      <c r="AE38" s="736"/>
      <c r="AF38" s="736"/>
      <c r="AG38" s="737"/>
      <c r="AH38" s="54"/>
      <c r="AJ38" s="735" t="s">
        <v>46</v>
      </c>
      <c r="AK38" s="736"/>
      <c r="AL38" s="736"/>
      <c r="AM38" s="736"/>
      <c r="AN38" s="737"/>
      <c r="AO38" s="54"/>
    </row>
    <row r="39" spans="1:41" ht="15.75" customHeight="1" thickBot="1">
      <c r="A39" s="687" t="s">
        <v>46</v>
      </c>
      <c r="B39" s="688"/>
      <c r="C39" s="688"/>
      <c r="D39" s="688"/>
      <c r="E39" s="689"/>
      <c r="F39" s="54"/>
      <c r="G39" s="2"/>
      <c r="H39" s="687" t="s">
        <v>46</v>
      </c>
      <c r="I39" s="688"/>
      <c r="J39" s="688"/>
      <c r="K39" s="688"/>
      <c r="L39" s="689"/>
      <c r="M39" s="54"/>
      <c r="N39" s="2"/>
      <c r="O39" s="687" t="s">
        <v>46</v>
      </c>
      <c r="P39" s="688"/>
      <c r="Q39" s="688"/>
      <c r="R39" s="688"/>
      <c r="S39" s="689"/>
      <c r="T39" s="54"/>
      <c r="V39" s="765" t="s">
        <v>47</v>
      </c>
      <c r="W39" s="768"/>
      <c r="X39" s="768"/>
      <c r="Y39" s="768"/>
      <c r="Z39" s="429"/>
      <c r="AA39" s="400"/>
      <c r="AC39" s="735" t="s">
        <v>47</v>
      </c>
      <c r="AD39" s="736"/>
      <c r="AE39" s="736"/>
      <c r="AF39" s="736"/>
      <c r="AG39" s="737"/>
      <c r="AH39" s="54"/>
      <c r="AJ39" s="735" t="s">
        <v>47</v>
      </c>
      <c r="AK39" s="736"/>
      <c r="AL39" s="736"/>
      <c r="AM39" s="736"/>
      <c r="AN39" s="737"/>
      <c r="AO39" s="54"/>
    </row>
    <row r="40" spans="1:41" ht="15.75" customHeight="1" thickBot="1">
      <c r="A40" s="687" t="s">
        <v>47</v>
      </c>
      <c r="B40" s="688"/>
      <c r="C40" s="688"/>
      <c r="D40" s="688"/>
      <c r="E40" s="56"/>
      <c r="F40" s="54"/>
      <c r="G40" s="2"/>
      <c r="H40" s="687" t="s">
        <v>47</v>
      </c>
      <c r="I40" s="688"/>
      <c r="J40" s="688"/>
      <c r="K40" s="688"/>
      <c r="L40" s="56"/>
      <c r="M40" s="54"/>
      <c r="N40" s="2"/>
      <c r="O40" s="687" t="s">
        <v>47</v>
      </c>
      <c r="P40" s="688"/>
      <c r="Q40" s="688"/>
      <c r="R40" s="688"/>
      <c r="S40" s="56"/>
      <c r="T40" s="54"/>
      <c r="V40" s="765" t="s">
        <v>46</v>
      </c>
      <c r="W40" s="768"/>
      <c r="X40" s="768"/>
      <c r="Y40" s="768"/>
      <c r="Z40" s="769"/>
      <c r="AA40" s="400"/>
      <c r="AC40" s="735" t="s">
        <v>46</v>
      </c>
      <c r="AD40" s="736"/>
      <c r="AE40" s="736"/>
      <c r="AF40" s="736"/>
      <c r="AG40" s="737"/>
      <c r="AH40" s="54"/>
      <c r="AJ40" s="735" t="s">
        <v>46</v>
      </c>
      <c r="AK40" s="736"/>
      <c r="AL40" s="736"/>
      <c r="AM40" s="736"/>
      <c r="AN40" s="737"/>
      <c r="AO40" s="54"/>
    </row>
    <row r="41" spans="1:41" ht="15.75" customHeight="1" thickBot="1">
      <c r="A41" s="687" t="s">
        <v>46</v>
      </c>
      <c r="B41" s="688"/>
      <c r="C41" s="688"/>
      <c r="D41" s="688"/>
      <c r="E41" s="689"/>
      <c r="F41" s="54"/>
      <c r="G41" s="2"/>
      <c r="H41" s="687" t="s">
        <v>46</v>
      </c>
      <c r="I41" s="688"/>
      <c r="J41" s="688"/>
      <c r="K41" s="688"/>
      <c r="L41" s="689"/>
      <c r="M41" s="54"/>
      <c r="N41" s="2"/>
      <c r="O41" s="687" t="s">
        <v>46</v>
      </c>
      <c r="P41" s="688"/>
      <c r="Q41" s="688"/>
      <c r="R41" s="688"/>
      <c r="S41" s="689"/>
      <c r="T41" s="54"/>
      <c r="V41" s="765" t="s">
        <v>48</v>
      </c>
      <c r="W41" s="768"/>
      <c r="X41" s="768"/>
      <c r="Y41" s="768"/>
      <c r="Z41" s="428"/>
      <c r="AA41" s="400"/>
      <c r="AC41" s="735" t="s">
        <v>48</v>
      </c>
      <c r="AD41" s="736"/>
      <c r="AE41" s="736"/>
      <c r="AF41" s="736"/>
      <c r="AG41" s="737"/>
      <c r="AH41" s="54"/>
      <c r="AJ41" s="735" t="s">
        <v>48</v>
      </c>
      <c r="AK41" s="736"/>
      <c r="AL41" s="736"/>
      <c r="AM41" s="736"/>
      <c r="AN41" s="737"/>
      <c r="AO41" s="54"/>
    </row>
    <row r="42" spans="1:41" ht="15.75" customHeight="1" thickBot="1">
      <c r="A42" s="687" t="s">
        <v>48</v>
      </c>
      <c r="B42" s="688"/>
      <c r="C42" s="688"/>
      <c r="D42" s="688"/>
      <c r="E42" s="55"/>
      <c r="F42" s="54"/>
      <c r="G42" s="2"/>
      <c r="H42" s="687" t="s">
        <v>48</v>
      </c>
      <c r="I42" s="688"/>
      <c r="J42" s="688"/>
      <c r="K42" s="688"/>
      <c r="L42" s="55"/>
      <c r="M42" s="54"/>
      <c r="N42" s="2"/>
      <c r="O42" s="687" t="s">
        <v>48</v>
      </c>
      <c r="P42" s="688"/>
      <c r="Q42" s="688"/>
      <c r="R42" s="688"/>
      <c r="S42" s="55"/>
      <c r="T42" s="54"/>
      <c r="V42" s="765" t="s">
        <v>46</v>
      </c>
      <c r="W42" s="768"/>
      <c r="X42" s="768"/>
      <c r="Y42" s="768"/>
      <c r="Z42" s="769"/>
      <c r="AA42" s="400"/>
      <c r="AC42" s="735" t="s">
        <v>46</v>
      </c>
      <c r="AD42" s="736"/>
      <c r="AE42" s="736"/>
      <c r="AF42" s="736"/>
      <c r="AG42" s="737"/>
      <c r="AH42" s="54"/>
      <c r="AJ42" s="735" t="s">
        <v>46</v>
      </c>
      <c r="AK42" s="736"/>
      <c r="AL42" s="736"/>
      <c r="AM42" s="736"/>
      <c r="AN42" s="737"/>
      <c r="AO42" s="54"/>
    </row>
    <row r="43" spans="1:41" ht="15.75" customHeight="1" thickBot="1">
      <c r="A43" s="687" t="s">
        <v>46</v>
      </c>
      <c r="B43" s="688"/>
      <c r="C43" s="688"/>
      <c r="D43" s="688"/>
      <c r="E43" s="689"/>
      <c r="F43" s="54"/>
      <c r="G43" s="2"/>
      <c r="H43" s="687" t="s">
        <v>46</v>
      </c>
      <c r="I43" s="688"/>
      <c r="J43" s="688"/>
      <c r="K43" s="688"/>
      <c r="L43" s="689"/>
      <c r="M43" s="54"/>
      <c r="N43" s="2"/>
      <c r="O43" s="687" t="s">
        <v>46</v>
      </c>
      <c r="P43" s="688"/>
      <c r="Q43" s="688"/>
      <c r="R43" s="688"/>
      <c r="S43" s="689"/>
      <c r="T43" s="54"/>
      <c r="V43" s="765" t="s">
        <v>49</v>
      </c>
      <c r="W43" s="768"/>
      <c r="X43" s="768"/>
      <c r="Y43" s="768"/>
      <c r="Z43" s="429"/>
      <c r="AA43" s="400"/>
      <c r="AC43" s="735" t="s">
        <v>49</v>
      </c>
      <c r="AD43" s="736"/>
      <c r="AE43" s="736"/>
      <c r="AF43" s="736"/>
      <c r="AG43" s="737"/>
      <c r="AH43" s="54"/>
      <c r="AJ43" s="735" t="s">
        <v>49</v>
      </c>
      <c r="AK43" s="736"/>
      <c r="AL43" s="736"/>
      <c r="AM43" s="736"/>
      <c r="AN43" s="737"/>
      <c r="AO43" s="54"/>
    </row>
    <row r="44" spans="1:41" ht="15.75" customHeight="1" thickBot="1">
      <c r="A44" s="687" t="s">
        <v>49</v>
      </c>
      <c r="B44" s="688"/>
      <c r="C44" s="688"/>
      <c r="D44" s="688"/>
      <c r="E44" s="56"/>
      <c r="F44" s="54"/>
      <c r="G44" s="2"/>
      <c r="H44" s="687" t="s">
        <v>49</v>
      </c>
      <c r="I44" s="688"/>
      <c r="J44" s="688"/>
      <c r="K44" s="688"/>
      <c r="L44" s="56"/>
      <c r="M44" s="54"/>
      <c r="N44" s="2"/>
      <c r="O44" s="687" t="s">
        <v>49</v>
      </c>
      <c r="P44" s="688"/>
      <c r="Q44" s="688"/>
      <c r="R44" s="688"/>
      <c r="S44" s="56"/>
      <c r="T44" s="54"/>
      <c r="V44" s="755" t="s">
        <v>50</v>
      </c>
      <c r="W44" s="756"/>
      <c r="X44" s="756"/>
      <c r="Y44" s="756"/>
      <c r="Z44" s="757"/>
      <c r="AA44" s="430"/>
      <c r="AC44" s="738" t="s">
        <v>50</v>
      </c>
      <c r="AD44" s="739"/>
      <c r="AE44" s="739"/>
      <c r="AF44" s="739"/>
      <c r="AG44" s="740"/>
      <c r="AH44" s="57"/>
      <c r="AJ44" s="738" t="s">
        <v>50</v>
      </c>
      <c r="AK44" s="739"/>
      <c r="AL44" s="739"/>
      <c r="AM44" s="739"/>
      <c r="AN44" s="740"/>
      <c r="AO44" s="57"/>
    </row>
    <row r="45" spans="1:41" ht="16.5" customHeight="1" thickBot="1">
      <c r="A45" s="690" t="s">
        <v>50</v>
      </c>
      <c r="B45" s="691"/>
      <c r="C45" s="691"/>
      <c r="D45" s="691"/>
      <c r="E45" s="692"/>
      <c r="F45" s="57"/>
      <c r="G45" s="2"/>
      <c r="H45" s="690" t="s">
        <v>50</v>
      </c>
      <c r="I45" s="691"/>
      <c r="J45" s="691"/>
      <c r="K45" s="691"/>
      <c r="L45" s="692"/>
      <c r="M45" s="57"/>
      <c r="N45" s="2"/>
      <c r="O45" s="690" t="s">
        <v>50</v>
      </c>
      <c r="P45" s="691"/>
      <c r="Q45" s="691"/>
      <c r="R45" s="691"/>
      <c r="S45" s="692"/>
      <c r="T45" s="57"/>
      <c r="V45" s="758" t="s">
        <v>1396</v>
      </c>
      <c r="W45" s="759"/>
      <c r="X45" s="759"/>
      <c r="Y45" s="759"/>
      <c r="Z45" s="759"/>
      <c r="AA45" s="760"/>
      <c r="AC45" s="741" t="s">
        <v>1397</v>
      </c>
      <c r="AD45" s="742"/>
      <c r="AE45" s="742"/>
      <c r="AF45" s="742"/>
      <c r="AG45" s="742"/>
      <c r="AH45" s="454"/>
      <c r="AJ45" s="741" t="s">
        <v>1398</v>
      </c>
      <c r="AK45" s="742"/>
      <c r="AL45" s="742"/>
      <c r="AM45" s="742"/>
      <c r="AN45" s="742"/>
      <c r="AO45" s="454"/>
    </row>
    <row r="46" spans="1:41" ht="19.5" customHeight="1" thickBot="1">
      <c r="A46" s="693" t="s">
        <v>1393</v>
      </c>
      <c r="B46" s="694"/>
      <c r="C46" s="694"/>
      <c r="D46" s="694"/>
      <c r="E46" s="694"/>
      <c r="F46" s="695"/>
      <c r="G46" s="2"/>
      <c r="H46" s="693" t="s">
        <v>1394</v>
      </c>
      <c r="I46" s="694"/>
      <c r="J46" s="694"/>
      <c r="K46" s="694"/>
      <c r="L46" s="694"/>
      <c r="M46" s="695"/>
      <c r="N46" s="2"/>
      <c r="O46" s="693" t="s">
        <v>1395</v>
      </c>
      <c r="P46" s="694"/>
      <c r="Q46" s="694"/>
      <c r="R46" s="694"/>
      <c r="S46" s="694"/>
      <c r="T46" s="695"/>
    </row>
    <row r="47" spans="1:41" ht="15.75" customHeight="1" thickBot="1">
      <c r="A47" s="58"/>
      <c r="B47" s="58"/>
      <c r="C47" s="58"/>
      <c r="D47" s="58"/>
      <c r="E47" s="58"/>
      <c r="F47" s="58"/>
      <c r="G47" s="53"/>
      <c r="H47" s="58"/>
      <c r="I47" s="58"/>
      <c r="J47" s="58"/>
      <c r="K47" s="58"/>
      <c r="L47" s="58"/>
      <c r="M47" s="58"/>
      <c r="N47" s="53"/>
      <c r="O47" s="59"/>
      <c r="P47" s="59"/>
      <c r="Q47" s="59"/>
      <c r="R47" s="59"/>
      <c r="S47" s="59"/>
      <c r="T47" s="59"/>
    </row>
    <row r="48" spans="1:41" ht="27" customHeight="1" thickBot="1">
      <c r="A48" s="696" t="s">
        <v>0</v>
      </c>
      <c r="B48" s="697"/>
      <c r="C48" s="697"/>
      <c r="D48" s="697"/>
      <c r="E48" s="697"/>
      <c r="F48" s="698"/>
      <c r="G48" s="2"/>
      <c r="H48" s="696" t="s">
        <v>0</v>
      </c>
      <c r="I48" s="697"/>
      <c r="J48" s="697"/>
      <c r="K48" s="697"/>
      <c r="L48" s="697"/>
      <c r="M48" s="698"/>
      <c r="N48" s="60"/>
      <c r="O48" s="696" t="s">
        <v>0</v>
      </c>
      <c r="P48" s="697"/>
      <c r="Q48" s="697"/>
      <c r="R48" s="697"/>
      <c r="S48" s="697"/>
      <c r="T48" s="698"/>
      <c r="V48" s="696" t="s">
        <v>0</v>
      </c>
      <c r="W48" s="697"/>
      <c r="X48" s="697"/>
      <c r="Y48" s="697"/>
      <c r="Z48" s="697"/>
      <c r="AA48" s="698"/>
    </row>
    <row r="49" spans="1:27" ht="19.5" customHeight="1" thickBot="1">
      <c r="A49" s="3" t="s">
        <v>1</v>
      </c>
      <c r="B49" s="693" t="s">
        <v>2</v>
      </c>
      <c r="C49" s="694"/>
      <c r="D49" s="694"/>
      <c r="E49" s="695"/>
      <c r="F49" s="3" t="s">
        <v>3</v>
      </c>
      <c r="G49" s="2"/>
      <c r="H49" s="3" t="s">
        <v>1</v>
      </c>
      <c r="I49" s="693" t="s">
        <v>2</v>
      </c>
      <c r="J49" s="694"/>
      <c r="K49" s="694"/>
      <c r="L49" s="695"/>
      <c r="M49" s="3" t="s">
        <v>3</v>
      </c>
      <c r="N49" s="60"/>
      <c r="O49" s="3" t="s">
        <v>1</v>
      </c>
      <c r="P49" s="693" t="s">
        <v>2</v>
      </c>
      <c r="Q49" s="694"/>
      <c r="R49" s="694"/>
      <c r="S49" s="695"/>
      <c r="T49" s="3" t="s">
        <v>3</v>
      </c>
      <c r="V49" s="3" t="s">
        <v>1</v>
      </c>
      <c r="W49" s="693" t="s">
        <v>2</v>
      </c>
      <c r="X49" s="694"/>
      <c r="Y49" s="694"/>
      <c r="Z49" s="695"/>
      <c r="AA49" s="3" t="s">
        <v>3</v>
      </c>
    </row>
    <row r="50" spans="1:27" ht="83.25" customHeight="1" thickBot="1">
      <c r="A50" s="5" t="s">
        <v>52</v>
      </c>
      <c r="B50" s="743" t="s">
        <v>53</v>
      </c>
      <c r="C50" s="744"/>
      <c r="D50" s="744"/>
      <c r="E50" s="745"/>
      <c r="F50" s="5" t="s">
        <v>6</v>
      </c>
      <c r="G50" s="2"/>
      <c r="H50" s="5" t="s">
        <v>54</v>
      </c>
      <c r="I50" s="743" t="s">
        <v>55</v>
      </c>
      <c r="J50" s="744"/>
      <c r="K50" s="744"/>
      <c r="L50" s="745"/>
      <c r="M50" s="5" t="s">
        <v>6</v>
      </c>
      <c r="N50" s="60"/>
      <c r="O50" s="5" t="s">
        <v>831</v>
      </c>
      <c r="P50" s="743" t="s">
        <v>1023</v>
      </c>
      <c r="Q50" s="744"/>
      <c r="R50" s="744"/>
      <c r="S50" s="745"/>
      <c r="T50" s="5" t="s">
        <v>6</v>
      </c>
      <c r="V50" s="5" t="s">
        <v>834</v>
      </c>
      <c r="W50" s="743" t="s">
        <v>1078</v>
      </c>
      <c r="X50" s="744"/>
      <c r="Y50" s="744"/>
      <c r="Z50" s="745"/>
      <c r="AA50" s="5" t="s">
        <v>6</v>
      </c>
    </row>
    <row r="51" spans="1:27" ht="15.75" customHeight="1" thickBot="1">
      <c r="A51" s="705" t="s">
        <v>8</v>
      </c>
      <c r="B51" s="706"/>
      <c r="C51" s="706"/>
      <c r="D51" s="706"/>
      <c r="E51" s="706"/>
      <c r="F51" s="707"/>
      <c r="G51" s="2"/>
      <c r="H51" s="705" t="s">
        <v>8</v>
      </c>
      <c r="I51" s="706"/>
      <c r="J51" s="706"/>
      <c r="K51" s="706"/>
      <c r="L51" s="706"/>
      <c r="M51" s="707"/>
      <c r="N51" s="60"/>
      <c r="O51" s="705" t="s">
        <v>8</v>
      </c>
      <c r="P51" s="706"/>
      <c r="Q51" s="706"/>
      <c r="R51" s="706"/>
      <c r="S51" s="706"/>
      <c r="T51" s="707"/>
      <c r="V51" s="705" t="s">
        <v>8</v>
      </c>
      <c r="W51" s="706"/>
      <c r="X51" s="706"/>
      <c r="Y51" s="706"/>
      <c r="Z51" s="706"/>
      <c r="AA51" s="707"/>
    </row>
    <row r="52" spans="1:27" ht="15.75" customHeight="1" thickBot="1">
      <c r="A52" s="8" t="s">
        <v>1</v>
      </c>
      <c r="B52" s="5" t="s">
        <v>2</v>
      </c>
      <c r="C52" s="8" t="s">
        <v>3</v>
      </c>
      <c r="D52" s="8" t="s">
        <v>9</v>
      </c>
      <c r="E52" s="8" t="s">
        <v>10</v>
      </c>
      <c r="F52" s="8" t="s">
        <v>11</v>
      </c>
      <c r="G52" s="2"/>
      <c r="H52" s="8" t="s">
        <v>1</v>
      </c>
      <c r="I52" s="5" t="s">
        <v>2</v>
      </c>
      <c r="J52" s="8" t="s">
        <v>3</v>
      </c>
      <c r="K52" s="8" t="s">
        <v>9</v>
      </c>
      <c r="L52" s="8" t="s">
        <v>10</v>
      </c>
      <c r="M52" s="8" t="s">
        <v>11</v>
      </c>
      <c r="N52" s="60"/>
      <c r="O52" s="8" t="s">
        <v>1</v>
      </c>
      <c r="P52" s="5" t="s">
        <v>2</v>
      </c>
      <c r="Q52" s="8" t="s">
        <v>3</v>
      </c>
      <c r="R52" s="8" t="s">
        <v>9</v>
      </c>
      <c r="S52" s="8" t="s">
        <v>10</v>
      </c>
      <c r="T52" s="8" t="s">
        <v>11</v>
      </c>
      <c r="V52" s="8" t="s">
        <v>1</v>
      </c>
      <c r="W52" s="5" t="s">
        <v>2</v>
      </c>
      <c r="X52" s="8" t="s">
        <v>3</v>
      </c>
      <c r="Y52" s="8" t="s">
        <v>9</v>
      </c>
      <c r="Z52" s="8" t="s">
        <v>10</v>
      </c>
      <c r="AA52" s="8" t="s">
        <v>11</v>
      </c>
    </row>
    <row r="53" spans="1:27" ht="30" customHeight="1">
      <c r="A53" s="9" t="str">
        <f>MATERIALES!B113</f>
        <v>IMP-001</v>
      </c>
      <c r="B53" s="10" t="s">
        <v>57</v>
      </c>
      <c r="C53" s="9" t="s">
        <v>58</v>
      </c>
      <c r="D53" s="11">
        <v>0.18</v>
      </c>
      <c r="E53" s="12">
        <f>MATERIALES!E113</f>
        <v>1573.55</v>
      </c>
      <c r="F53" s="13">
        <f>D53*E53</f>
        <v>283.23899999999998</v>
      </c>
      <c r="G53" s="2"/>
      <c r="H53" s="9" t="str">
        <f>MATERIALES!B185</f>
        <v>LOS-001</v>
      </c>
      <c r="I53" s="10" t="s">
        <v>60</v>
      </c>
      <c r="J53" s="9" t="s">
        <v>42</v>
      </c>
      <c r="K53" s="11">
        <v>1.05</v>
      </c>
      <c r="L53" s="12">
        <f>MATERIALES!E185</f>
        <v>249</v>
      </c>
      <c r="M53" s="13">
        <f>K53*L53</f>
        <v>261.45</v>
      </c>
      <c r="N53" s="60"/>
      <c r="O53" s="463" t="s">
        <v>658</v>
      </c>
      <c r="P53" s="10" t="s">
        <v>1024</v>
      </c>
      <c r="Q53" s="463" t="s">
        <v>58</v>
      </c>
      <c r="R53" s="11">
        <v>0.02</v>
      </c>
      <c r="S53" s="12">
        <f>MATERIALES!F147</f>
        <v>1630</v>
      </c>
      <c r="T53" s="13">
        <f>R53*S53</f>
        <v>32.6</v>
      </c>
      <c r="V53" s="463" t="s">
        <v>15</v>
      </c>
      <c r="W53" s="10" t="s">
        <v>67</v>
      </c>
      <c r="X53" s="463" t="s">
        <v>308</v>
      </c>
      <c r="Y53" s="11">
        <f>(20*1.05)/1000</f>
        <v>2.1000000000000001E-2</v>
      </c>
      <c r="Z53" s="12">
        <f>MATERIALES!E15</f>
        <v>10</v>
      </c>
      <c r="AA53" s="13">
        <f>Y53*Z53</f>
        <v>0.21000000000000002</v>
      </c>
    </row>
    <row r="54" spans="1:27" ht="15" customHeight="1">
      <c r="A54" s="16" t="str">
        <f>MATERIALES!B15</f>
        <v>AGU-001</v>
      </c>
      <c r="B54" s="17" t="s">
        <v>61</v>
      </c>
      <c r="C54" s="16" t="s">
        <v>17</v>
      </c>
      <c r="D54" s="18">
        <v>1.5E-3</v>
      </c>
      <c r="E54" s="20">
        <f>MATERIALES!E15</f>
        <v>10</v>
      </c>
      <c r="F54" s="20">
        <f>D54*E54</f>
        <v>1.4999999999999999E-2</v>
      </c>
      <c r="G54" s="2"/>
      <c r="H54" s="16" t="str">
        <f>MATERIALES!B186:B186</f>
        <v>JAL-001</v>
      </c>
      <c r="I54" s="17" t="s">
        <v>63</v>
      </c>
      <c r="J54" s="16" t="s">
        <v>64</v>
      </c>
      <c r="K54" s="18">
        <v>5.0000000000000001E-3</v>
      </c>
      <c r="L54" s="19">
        <f>MATERIALES!E186</f>
        <v>73</v>
      </c>
      <c r="M54" s="20">
        <f>K54*L54</f>
        <v>0.36499999999999999</v>
      </c>
      <c r="N54" s="60"/>
      <c r="O54" s="466" t="s">
        <v>15</v>
      </c>
      <c r="P54" s="460" t="s">
        <v>67</v>
      </c>
      <c r="Q54" s="466" t="s">
        <v>17</v>
      </c>
      <c r="R54" s="18">
        <v>2.1210000000000001E-4</v>
      </c>
      <c r="S54" s="19">
        <f>MATERIALES!E15</f>
        <v>10</v>
      </c>
      <c r="T54" s="472">
        <f>R54*S54</f>
        <v>2.1210000000000001E-3</v>
      </c>
      <c r="V54" s="466"/>
      <c r="W54" s="460"/>
      <c r="X54" s="466"/>
      <c r="Y54" s="18"/>
      <c r="Z54" s="19"/>
      <c r="AA54" s="472"/>
    </row>
    <row r="55" spans="1:27" ht="15" customHeight="1">
      <c r="A55" s="16" t="str">
        <f>MATERIALES!B111</f>
        <v>ESC-001</v>
      </c>
      <c r="B55" s="17" t="s">
        <v>66</v>
      </c>
      <c r="C55" s="16" t="s">
        <v>64</v>
      </c>
      <c r="D55" s="18">
        <f>1/200</f>
        <v>5.0000000000000001E-3</v>
      </c>
      <c r="E55" s="20">
        <f>MATERIALES!E111</f>
        <v>50</v>
      </c>
      <c r="F55" s="20">
        <f>D55*E55</f>
        <v>0.25</v>
      </c>
      <c r="G55" s="2"/>
      <c r="H55" s="16" t="str">
        <f>MATERIALES!B15</f>
        <v>AGU-001</v>
      </c>
      <c r="I55" s="17" t="s">
        <v>67</v>
      </c>
      <c r="J55" s="16" t="s">
        <v>17</v>
      </c>
      <c r="K55" s="18">
        <v>1.5E-3</v>
      </c>
      <c r="L55" s="20">
        <f>MATERIALES!E15</f>
        <v>10</v>
      </c>
      <c r="M55" s="20">
        <f>K55*L55</f>
        <v>1.4999999999999999E-2</v>
      </c>
      <c r="N55" s="60"/>
      <c r="O55" s="466" t="s">
        <v>519</v>
      </c>
      <c r="P55" s="460" t="s">
        <v>1031</v>
      </c>
      <c r="Q55" s="466" t="s">
        <v>64</v>
      </c>
      <c r="R55" s="30">
        <f>1/30</f>
        <v>3.3333333333333333E-2</v>
      </c>
      <c r="S55" s="20">
        <f>MATERIALES!E88</f>
        <v>43.1</v>
      </c>
      <c r="T55" s="20">
        <f>R55*S55</f>
        <v>1.4366666666666668</v>
      </c>
      <c r="V55" s="466"/>
      <c r="W55" s="460"/>
      <c r="X55" s="466"/>
      <c r="Y55" s="30"/>
      <c r="Z55" s="20"/>
      <c r="AA55" s="20"/>
    </row>
    <row r="56" spans="1:27" ht="15" customHeight="1">
      <c r="A56" s="21"/>
      <c r="B56" s="22"/>
      <c r="C56" s="21"/>
      <c r="D56" s="21"/>
      <c r="E56" s="20"/>
      <c r="F56" s="20"/>
      <c r="G56" s="2"/>
      <c r="H56" s="21"/>
      <c r="I56" s="22"/>
      <c r="J56" s="21"/>
      <c r="K56" s="21"/>
      <c r="L56" s="20"/>
      <c r="M56" s="20"/>
      <c r="N56" s="60"/>
      <c r="O56" s="462" t="s">
        <v>1027</v>
      </c>
      <c r="P56" s="461" t="s">
        <v>1025</v>
      </c>
      <c r="Q56" s="462" t="s">
        <v>42</v>
      </c>
      <c r="R56" s="21">
        <f>1/10</f>
        <v>0.1</v>
      </c>
      <c r="S56" s="20">
        <f>MATERIALES!E197</f>
        <v>15</v>
      </c>
      <c r="T56" s="20">
        <f>R56*S56</f>
        <v>1.5</v>
      </c>
      <c r="V56" s="462"/>
      <c r="W56" s="461"/>
      <c r="X56" s="462"/>
      <c r="Y56" s="21"/>
      <c r="Z56" s="20"/>
      <c r="AA56" s="20"/>
    </row>
    <row r="57" spans="1:27" ht="15" customHeight="1">
      <c r="A57" s="21"/>
      <c r="B57" s="22"/>
      <c r="C57" s="21"/>
      <c r="D57" s="21"/>
      <c r="E57" s="20"/>
      <c r="F57" s="20"/>
      <c r="G57" s="2"/>
      <c r="H57" s="21"/>
      <c r="I57" s="22"/>
      <c r="J57" s="21"/>
      <c r="K57" s="21"/>
      <c r="L57" s="20"/>
      <c r="M57" s="20"/>
      <c r="N57" s="60"/>
      <c r="O57" s="21"/>
      <c r="P57" s="22"/>
      <c r="Q57" s="21"/>
      <c r="R57" s="21"/>
      <c r="S57" s="20"/>
      <c r="T57" s="20"/>
      <c r="V57" s="21"/>
      <c r="W57" s="22"/>
      <c r="X57" s="21"/>
      <c r="Y57" s="21"/>
      <c r="Z57" s="20"/>
      <c r="AA57" s="20"/>
    </row>
    <row r="58" spans="1:27" ht="15" customHeight="1">
      <c r="A58" s="21"/>
      <c r="B58" s="22"/>
      <c r="C58" s="21"/>
      <c r="D58" s="21"/>
      <c r="E58" s="20"/>
      <c r="F58" s="20"/>
      <c r="G58" s="2"/>
      <c r="H58" s="21"/>
      <c r="I58" s="22"/>
      <c r="J58" s="21"/>
      <c r="K58" s="21"/>
      <c r="L58" s="20"/>
      <c r="M58" s="20"/>
      <c r="N58" s="60"/>
      <c r="O58" s="21"/>
      <c r="P58" s="22"/>
      <c r="Q58" s="21"/>
      <c r="R58" s="21"/>
      <c r="S58" s="20"/>
      <c r="T58" s="20"/>
      <c r="V58" s="21"/>
      <c r="W58" s="22"/>
      <c r="X58" s="21"/>
      <c r="Y58" s="21"/>
      <c r="Z58" s="20"/>
      <c r="AA58" s="20"/>
    </row>
    <row r="59" spans="1:27" ht="15.75" customHeight="1" thickBot="1">
      <c r="A59" s="23"/>
      <c r="B59" s="24"/>
      <c r="C59" s="23"/>
      <c r="D59" s="23"/>
      <c r="E59" s="25"/>
      <c r="F59" s="25"/>
      <c r="G59" s="2"/>
      <c r="H59" s="23"/>
      <c r="I59" s="24"/>
      <c r="J59" s="23"/>
      <c r="K59" s="23"/>
      <c r="L59" s="25"/>
      <c r="M59" s="25"/>
      <c r="N59" s="60"/>
      <c r="O59" s="23"/>
      <c r="P59" s="24"/>
      <c r="Q59" s="23"/>
      <c r="R59" s="23"/>
      <c r="S59" s="25"/>
      <c r="T59" s="25"/>
      <c r="V59" s="23"/>
      <c r="W59" s="24"/>
      <c r="X59" s="23"/>
      <c r="Y59" s="23"/>
      <c r="Z59" s="25"/>
      <c r="AA59" s="25"/>
    </row>
    <row r="60" spans="1:27" ht="15.75" customHeight="1" thickBot="1">
      <c r="A60" s="708" t="s">
        <v>18</v>
      </c>
      <c r="B60" s="709"/>
      <c r="C60" s="709"/>
      <c r="D60" s="709"/>
      <c r="E60" s="710"/>
      <c r="F60" s="26">
        <f>SUM(F53:F59)</f>
        <v>283.50399999999996</v>
      </c>
      <c r="G60" s="2"/>
      <c r="H60" s="708" t="s">
        <v>18</v>
      </c>
      <c r="I60" s="709"/>
      <c r="J60" s="709"/>
      <c r="K60" s="709"/>
      <c r="L60" s="710"/>
      <c r="M60" s="26">
        <f>SUM(M53:M59)</f>
        <v>261.83</v>
      </c>
      <c r="N60" s="60"/>
      <c r="O60" s="708" t="s">
        <v>18</v>
      </c>
      <c r="P60" s="709"/>
      <c r="Q60" s="709"/>
      <c r="R60" s="709"/>
      <c r="S60" s="710"/>
      <c r="T60" s="26">
        <f>SUM(T53:T59)</f>
        <v>35.538787666666671</v>
      </c>
      <c r="V60" s="708" t="s">
        <v>18</v>
      </c>
      <c r="W60" s="709"/>
      <c r="X60" s="709"/>
      <c r="Y60" s="709"/>
      <c r="Z60" s="710"/>
      <c r="AA60" s="26">
        <f>SUM(AA53:AA59)</f>
        <v>0.21000000000000002</v>
      </c>
    </row>
    <row r="61" spans="1:27" ht="15.75" customHeight="1" thickBot="1">
      <c r="A61" s="711" t="s">
        <v>19</v>
      </c>
      <c r="B61" s="712"/>
      <c r="C61" s="712"/>
      <c r="D61" s="712"/>
      <c r="E61" s="712"/>
      <c r="F61" s="713"/>
      <c r="G61" s="2"/>
      <c r="H61" s="711" t="s">
        <v>19</v>
      </c>
      <c r="I61" s="712"/>
      <c r="J61" s="712"/>
      <c r="K61" s="712"/>
      <c r="L61" s="712"/>
      <c r="M61" s="713"/>
      <c r="N61" s="60"/>
      <c r="O61" s="711" t="s">
        <v>19</v>
      </c>
      <c r="P61" s="712"/>
      <c r="Q61" s="712"/>
      <c r="R61" s="712"/>
      <c r="S61" s="712"/>
      <c r="T61" s="713"/>
      <c r="V61" s="711" t="s">
        <v>19</v>
      </c>
      <c r="W61" s="712"/>
      <c r="X61" s="712"/>
      <c r="Y61" s="712"/>
      <c r="Z61" s="712"/>
      <c r="AA61" s="713"/>
    </row>
    <row r="62" spans="1:27" ht="15.75" customHeight="1" thickBot="1">
      <c r="A62" s="8" t="s">
        <v>1</v>
      </c>
      <c r="B62" s="5" t="s">
        <v>2</v>
      </c>
      <c r="C62" s="8" t="s">
        <v>3</v>
      </c>
      <c r="D62" s="8" t="s">
        <v>9</v>
      </c>
      <c r="E62" s="8" t="s">
        <v>10</v>
      </c>
      <c r="F62" s="8" t="s">
        <v>11</v>
      </c>
      <c r="G62" s="2"/>
      <c r="H62" s="8" t="s">
        <v>1</v>
      </c>
      <c r="I62" s="5" t="s">
        <v>2</v>
      </c>
      <c r="J62" s="8" t="s">
        <v>3</v>
      </c>
      <c r="K62" s="8" t="s">
        <v>9</v>
      </c>
      <c r="L62" s="8" t="s">
        <v>10</v>
      </c>
      <c r="M62" s="8" t="s">
        <v>11</v>
      </c>
      <c r="N62" s="60"/>
      <c r="O62" s="8" t="s">
        <v>1</v>
      </c>
      <c r="P62" s="5" t="s">
        <v>2</v>
      </c>
      <c r="Q62" s="8" t="s">
        <v>3</v>
      </c>
      <c r="R62" s="8" t="s">
        <v>9</v>
      </c>
      <c r="S62" s="8" t="s">
        <v>10</v>
      </c>
      <c r="T62" s="8" t="s">
        <v>11</v>
      </c>
      <c r="V62" s="8" t="s">
        <v>1</v>
      </c>
      <c r="W62" s="5" t="s">
        <v>2</v>
      </c>
      <c r="X62" s="8" t="s">
        <v>3</v>
      </c>
      <c r="Y62" s="8" t="s">
        <v>9</v>
      </c>
      <c r="Z62" s="8" t="s">
        <v>10</v>
      </c>
      <c r="AA62" s="8" t="s">
        <v>11</v>
      </c>
    </row>
    <row r="63" spans="1:27" ht="15.6" customHeight="1">
      <c r="A63" s="9" t="str">
        <f>'ANÁLISIS CUADRILLAS'!A9</f>
        <v>CUADR-002</v>
      </c>
      <c r="B63" s="10" t="s">
        <v>68</v>
      </c>
      <c r="C63" s="9" t="s">
        <v>21</v>
      </c>
      <c r="D63" s="27">
        <f>1/52</f>
        <v>1.9230769230769232E-2</v>
      </c>
      <c r="E63" s="12">
        <f>'ANÁLISIS CUADRILLAS'!F14</f>
        <v>1160.5378059999998</v>
      </c>
      <c r="F63" s="13">
        <f>D63*E63</f>
        <v>22.318034730769227</v>
      </c>
      <c r="G63" s="2"/>
      <c r="H63" s="9" t="str">
        <f>'ANÁLISIS CUADRILLAS'!A16</f>
        <v>CUADR-003</v>
      </c>
      <c r="I63" s="10" t="s">
        <v>69</v>
      </c>
      <c r="J63" s="9" t="s">
        <v>21</v>
      </c>
      <c r="K63" s="27">
        <f>1/9.24</f>
        <v>0.10822510822510822</v>
      </c>
      <c r="L63" s="12">
        <f>'ANÁLISIS CUADRILLAS'!F21</f>
        <v>1160.5378059999998</v>
      </c>
      <c r="M63" s="13">
        <f>K63*L63</f>
        <v>125.59932965367963</v>
      </c>
      <c r="N63" s="60"/>
      <c r="O63" s="463" t="s">
        <v>272</v>
      </c>
      <c r="P63" s="459" t="s">
        <v>1028</v>
      </c>
      <c r="Q63" s="9" t="s">
        <v>21</v>
      </c>
      <c r="R63" s="471">
        <f>1/25</f>
        <v>0.04</v>
      </c>
      <c r="S63" s="12">
        <f>'ANÁLISIS CUADRILLAS'!F14</f>
        <v>1160.5378059999998</v>
      </c>
      <c r="T63" s="13">
        <f>R63*S63</f>
        <v>46.421512239999991</v>
      </c>
      <c r="V63" s="463" t="s">
        <v>255</v>
      </c>
      <c r="W63" s="459" t="s">
        <v>1079</v>
      </c>
      <c r="X63" s="9" t="s">
        <v>21</v>
      </c>
      <c r="Y63" s="471">
        <f>(1*1)/21.5</f>
        <v>4.6511627906976744E-2</v>
      </c>
      <c r="Z63" s="12">
        <f>'ANÁLISIS CUADRILLAS'!F7</f>
        <v>1160.5378059999998</v>
      </c>
      <c r="AA63" s="13">
        <f>Y63*Z63</f>
        <v>53.978502604651155</v>
      </c>
    </row>
    <row r="64" spans="1:27" ht="15.75" customHeight="1" thickBot="1">
      <c r="A64" s="23"/>
      <c r="B64" s="24"/>
      <c r="C64" s="23"/>
      <c r="D64" s="23"/>
      <c r="E64" s="25"/>
      <c r="F64" s="25"/>
      <c r="G64" s="2"/>
      <c r="H64" s="23"/>
      <c r="I64" s="24"/>
      <c r="J64" s="23"/>
      <c r="K64" s="23"/>
      <c r="L64" s="34"/>
      <c r="M64" s="25"/>
      <c r="N64" s="60"/>
      <c r="O64" s="23"/>
      <c r="P64" s="24"/>
      <c r="Q64" s="23"/>
      <c r="R64" s="23"/>
      <c r="S64" s="34"/>
      <c r="T64" s="25"/>
      <c r="V64" s="23"/>
      <c r="W64" s="24"/>
      <c r="X64" s="23"/>
      <c r="Y64" s="23"/>
      <c r="Z64" s="34"/>
      <c r="AA64" s="25"/>
    </row>
    <row r="65" spans="1:27" ht="15.75" customHeight="1" thickBot="1">
      <c r="A65" s="714" t="s">
        <v>18</v>
      </c>
      <c r="B65" s="715"/>
      <c r="C65" s="715"/>
      <c r="D65" s="715"/>
      <c r="E65" s="716"/>
      <c r="F65" s="35">
        <f>SUM(F63:F64)</f>
        <v>22.318034730769227</v>
      </c>
      <c r="G65" s="2"/>
      <c r="H65" s="714" t="s">
        <v>18</v>
      </c>
      <c r="I65" s="715"/>
      <c r="J65" s="715"/>
      <c r="K65" s="715"/>
      <c r="L65" s="716"/>
      <c r="M65" s="35">
        <f>SUM(M63:M64)</f>
        <v>125.59932965367963</v>
      </c>
      <c r="N65" s="60"/>
      <c r="O65" s="714" t="s">
        <v>18</v>
      </c>
      <c r="P65" s="715"/>
      <c r="Q65" s="715"/>
      <c r="R65" s="715"/>
      <c r="S65" s="716"/>
      <c r="T65" s="35">
        <f>SUM(T63:T64)</f>
        <v>46.421512239999991</v>
      </c>
      <c r="V65" s="714" t="s">
        <v>18</v>
      </c>
      <c r="W65" s="715"/>
      <c r="X65" s="715"/>
      <c r="Y65" s="715"/>
      <c r="Z65" s="716"/>
      <c r="AA65" s="35">
        <f>SUM(AA63:AA64)</f>
        <v>53.978502604651155</v>
      </c>
    </row>
    <row r="66" spans="1:27" ht="15.75" customHeight="1" thickBot="1">
      <c r="A66" s="717" t="s">
        <v>23</v>
      </c>
      <c r="B66" s="718"/>
      <c r="C66" s="718"/>
      <c r="D66" s="718"/>
      <c r="E66" s="718"/>
      <c r="F66" s="719"/>
      <c r="G66" s="2"/>
      <c r="H66" s="717" t="s">
        <v>23</v>
      </c>
      <c r="I66" s="718"/>
      <c r="J66" s="718"/>
      <c r="K66" s="718"/>
      <c r="L66" s="718"/>
      <c r="M66" s="719"/>
      <c r="N66" s="60"/>
      <c r="O66" s="717" t="s">
        <v>23</v>
      </c>
      <c r="P66" s="718"/>
      <c r="Q66" s="718"/>
      <c r="R66" s="718"/>
      <c r="S66" s="718"/>
      <c r="T66" s="719"/>
      <c r="V66" s="717" t="s">
        <v>23</v>
      </c>
      <c r="W66" s="718"/>
      <c r="X66" s="718"/>
      <c r="Y66" s="718"/>
      <c r="Z66" s="718"/>
      <c r="AA66" s="719"/>
    </row>
    <row r="67" spans="1:27" ht="15.75" customHeight="1" thickBot="1">
      <c r="A67" s="8" t="s">
        <v>1</v>
      </c>
      <c r="B67" s="5" t="s">
        <v>2</v>
      </c>
      <c r="C67" s="8" t="s">
        <v>3</v>
      </c>
      <c r="D67" s="8" t="s">
        <v>9</v>
      </c>
      <c r="E67" s="8" t="s">
        <v>10</v>
      </c>
      <c r="F67" s="8" t="s">
        <v>11</v>
      </c>
      <c r="G67" s="2"/>
      <c r="H67" s="8" t="s">
        <v>1</v>
      </c>
      <c r="I67" s="5" t="s">
        <v>2</v>
      </c>
      <c r="J67" s="8" t="s">
        <v>3</v>
      </c>
      <c r="K67" s="8" t="s">
        <v>9</v>
      </c>
      <c r="L67" s="8" t="s">
        <v>10</v>
      </c>
      <c r="M67" s="8" t="s">
        <v>11</v>
      </c>
      <c r="N67" s="60"/>
      <c r="O67" s="8" t="s">
        <v>1</v>
      </c>
      <c r="P67" s="5" t="s">
        <v>2</v>
      </c>
      <c r="Q67" s="8" t="s">
        <v>3</v>
      </c>
      <c r="R67" s="8" t="s">
        <v>9</v>
      </c>
      <c r="S67" s="8" t="s">
        <v>10</v>
      </c>
      <c r="T67" s="8" t="s">
        <v>11</v>
      </c>
      <c r="V67" s="8" t="s">
        <v>1</v>
      </c>
      <c r="W67" s="5" t="s">
        <v>2</v>
      </c>
      <c r="X67" s="8" t="s">
        <v>3</v>
      </c>
      <c r="Y67" s="8" t="s">
        <v>9</v>
      </c>
      <c r="Z67" s="8" t="s">
        <v>10</v>
      </c>
      <c r="AA67" s="8" t="s">
        <v>11</v>
      </c>
    </row>
    <row r="68" spans="1:27" ht="15.75" customHeight="1" thickBot="1">
      <c r="A68" s="36" t="s">
        <v>24</v>
      </c>
      <c r="B68" s="37" t="s">
        <v>23</v>
      </c>
      <c r="C68" s="36" t="s">
        <v>25</v>
      </c>
      <c r="D68" s="38">
        <v>0.03</v>
      </c>
      <c r="E68" s="39">
        <f>F63</f>
        <v>22.318034730769227</v>
      </c>
      <c r="F68" s="39">
        <f>(D68*E68)</f>
        <v>0.66954104192307684</v>
      </c>
      <c r="G68" s="2"/>
      <c r="H68" s="36" t="s">
        <v>24</v>
      </c>
      <c r="I68" s="37" t="s">
        <v>23</v>
      </c>
      <c r="J68" s="36" t="s">
        <v>25</v>
      </c>
      <c r="K68" s="38">
        <v>0.03</v>
      </c>
      <c r="L68" s="39">
        <f>M63</f>
        <v>125.59932965367963</v>
      </c>
      <c r="M68" s="39">
        <f>K68*L68</f>
        <v>3.7679798896103889</v>
      </c>
      <c r="N68" s="60"/>
      <c r="O68" s="36" t="s">
        <v>24</v>
      </c>
      <c r="P68" s="37" t="s">
        <v>23</v>
      </c>
      <c r="Q68" s="36" t="s">
        <v>25</v>
      </c>
      <c r="R68" s="38">
        <v>0.03</v>
      </c>
      <c r="S68" s="39">
        <f>T63</f>
        <v>46.421512239999991</v>
      </c>
      <c r="T68" s="39">
        <f>R68*S68</f>
        <v>1.3926453671999997</v>
      </c>
      <c r="V68" s="36" t="s">
        <v>24</v>
      </c>
      <c r="W68" s="37" t="s">
        <v>23</v>
      </c>
      <c r="X68" s="36" t="s">
        <v>25</v>
      </c>
      <c r="Y68" s="38">
        <v>0.03</v>
      </c>
      <c r="Z68" s="39">
        <f>AA63</f>
        <v>53.978502604651155</v>
      </c>
      <c r="AA68" s="39">
        <f>Y68*Z68</f>
        <v>1.6193550781395345</v>
      </c>
    </row>
    <row r="69" spans="1:27" ht="15.75" customHeight="1" thickBot="1">
      <c r="A69" s="720" t="s">
        <v>26</v>
      </c>
      <c r="B69" s="721"/>
      <c r="C69" s="721"/>
      <c r="D69" s="721"/>
      <c r="E69" s="722"/>
      <c r="F69" s="40">
        <f>SUM(F68)</f>
        <v>0.66954104192307684</v>
      </c>
      <c r="G69" s="2"/>
      <c r="H69" s="720" t="s">
        <v>26</v>
      </c>
      <c r="I69" s="721"/>
      <c r="J69" s="721"/>
      <c r="K69" s="721"/>
      <c r="L69" s="722"/>
      <c r="M69" s="40">
        <f>SUM(M68)</f>
        <v>3.7679798896103889</v>
      </c>
      <c r="N69" s="60"/>
      <c r="O69" s="720" t="s">
        <v>26</v>
      </c>
      <c r="P69" s="721"/>
      <c r="Q69" s="721"/>
      <c r="R69" s="721"/>
      <c r="S69" s="722"/>
      <c r="T69" s="40">
        <f>SUM(T68)</f>
        <v>1.3926453671999997</v>
      </c>
      <c r="V69" s="720" t="s">
        <v>26</v>
      </c>
      <c r="W69" s="721"/>
      <c r="X69" s="721"/>
      <c r="Y69" s="721"/>
      <c r="Z69" s="722"/>
      <c r="AA69" s="40">
        <f>SUM(AA68)</f>
        <v>1.6193550781395345</v>
      </c>
    </row>
    <row r="70" spans="1:27" ht="15.75" customHeight="1" thickBot="1">
      <c r="A70" s="723" t="s">
        <v>27</v>
      </c>
      <c r="B70" s="724"/>
      <c r="C70" s="724"/>
      <c r="D70" s="724"/>
      <c r="E70" s="724"/>
      <c r="F70" s="725"/>
      <c r="G70" s="2"/>
      <c r="H70" s="723" t="s">
        <v>27</v>
      </c>
      <c r="I70" s="724"/>
      <c r="J70" s="724"/>
      <c r="K70" s="724"/>
      <c r="L70" s="724"/>
      <c r="M70" s="725"/>
      <c r="N70" s="60"/>
      <c r="O70" s="723" t="s">
        <v>27</v>
      </c>
      <c r="P70" s="724"/>
      <c r="Q70" s="724"/>
      <c r="R70" s="724"/>
      <c r="S70" s="724"/>
      <c r="T70" s="725"/>
      <c r="V70" s="723" t="s">
        <v>27</v>
      </c>
      <c r="W70" s="724"/>
      <c r="X70" s="724"/>
      <c r="Y70" s="724"/>
      <c r="Z70" s="724"/>
      <c r="AA70" s="725"/>
    </row>
    <row r="71" spans="1:27" ht="15.75" customHeight="1" thickBot="1">
      <c r="A71" s="8" t="s">
        <v>1</v>
      </c>
      <c r="B71" s="5" t="s">
        <v>2</v>
      </c>
      <c r="C71" s="8" t="s">
        <v>3</v>
      </c>
      <c r="D71" s="8" t="s">
        <v>9</v>
      </c>
      <c r="E71" s="8" t="s">
        <v>10</v>
      </c>
      <c r="F71" s="8" t="s">
        <v>11</v>
      </c>
      <c r="G71" s="2"/>
      <c r="H71" s="8" t="s">
        <v>1</v>
      </c>
      <c r="I71" s="5" t="s">
        <v>2</v>
      </c>
      <c r="J71" s="8" t="s">
        <v>3</v>
      </c>
      <c r="K71" s="8" t="s">
        <v>9</v>
      </c>
      <c r="L71" s="8" t="s">
        <v>10</v>
      </c>
      <c r="M71" s="8" t="s">
        <v>11</v>
      </c>
      <c r="N71" s="60"/>
      <c r="O71" s="8" t="s">
        <v>1</v>
      </c>
      <c r="P71" s="5" t="s">
        <v>2</v>
      </c>
      <c r="Q71" s="8" t="s">
        <v>3</v>
      </c>
      <c r="R71" s="8" t="s">
        <v>9</v>
      </c>
      <c r="S71" s="8" t="s">
        <v>10</v>
      </c>
      <c r="T71" s="8" t="s">
        <v>11</v>
      </c>
      <c r="V71" s="8" t="s">
        <v>1</v>
      </c>
      <c r="W71" s="5" t="s">
        <v>2</v>
      </c>
      <c r="X71" s="8" t="s">
        <v>3</v>
      </c>
      <c r="Y71" s="8" t="s">
        <v>9</v>
      </c>
      <c r="Z71" s="8" t="s">
        <v>10</v>
      </c>
      <c r="AA71" s="8" t="s">
        <v>11</v>
      </c>
    </row>
    <row r="72" spans="1:27" ht="15.6" customHeight="1">
      <c r="A72" s="9" t="s">
        <v>28</v>
      </c>
      <c r="B72" s="10" t="s">
        <v>29</v>
      </c>
      <c r="C72" s="9" t="s">
        <v>25</v>
      </c>
      <c r="D72" s="11">
        <v>0.02</v>
      </c>
      <c r="E72" s="13">
        <f>F63</f>
        <v>22.318034730769227</v>
      </c>
      <c r="F72" s="13">
        <f>(D72*E72)</f>
        <v>0.44636069461538458</v>
      </c>
      <c r="G72" s="2"/>
      <c r="H72" s="9" t="s">
        <v>28</v>
      </c>
      <c r="I72" s="10" t="s">
        <v>29</v>
      </c>
      <c r="J72" s="9" t="s">
        <v>25</v>
      </c>
      <c r="K72" s="11">
        <v>0.02</v>
      </c>
      <c r="L72" s="13">
        <f>M63</f>
        <v>125.59932965367963</v>
      </c>
      <c r="M72" s="13">
        <f>K72*L72</f>
        <v>2.5119865930735927</v>
      </c>
      <c r="N72" s="60"/>
      <c r="O72" s="9" t="s">
        <v>28</v>
      </c>
      <c r="P72" s="10" t="s">
        <v>29</v>
      </c>
      <c r="Q72" s="9" t="s">
        <v>25</v>
      </c>
      <c r="R72" s="11">
        <v>0.02</v>
      </c>
      <c r="S72" s="13">
        <f>T63</f>
        <v>46.421512239999991</v>
      </c>
      <c r="T72" s="13">
        <f>R72*S72</f>
        <v>0.9284302447999998</v>
      </c>
      <c r="V72" s="9" t="s">
        <v>28</v>
      </c>
      <c r="W72" s="10" t="s">
        <v>29</v>
      </c>
      <c r="X72" s="9" t="s">
        <v>25</v>
      </c>
      <c r="Y72" s="11">
        <v>0.02</v>
      </c>
      <c r="Z72" s="13">
        <f>AA63</f>
        <v>53.978502604651155</v>
      </c>
      <c r="AA72" s="13">
        <f>Y72*Z72</f>
        <v>1.0795700520930231</v>
      </c>
    </row>
    <row r="73" spans="1:27" ht="15.75" customHeight="1" thickBot="1">
      <c r="A73" s="23"/>
      <c r="B73" s="24"/>
      <c r="C73" s="23"/>
      <c r="D73" s="23"/>
      <c r="E73" s="25"/>
      <c r="F73" s="25"/>
      <c r="G73" s="2"/>
      <c r="H73" s="23"/>
      <c r="I73" s="24"/>
      <c r="J73" s="23"/>
      <c r="K73" s="23"/>
      <c r="L73" s="25"/>
      <c r="M73" s="25"/>
      <c r="N73" s="60"/>
      <c r="O73" s="23"/>
      <c r="P73" s="24"/>
      <c r="Q73" s="23"/>
      <c r="R73" s="23"/>
      <c r="S73" s="25"/>
      <c r="T73" s="25"/>
      <c r="V73" s="23"/>
      <c r="W73" s="24"/>
      <c r="X73" s="23"/>
      <c r="Y73" s="23"/>
      <c r="Z73" s="25"/>
      <c r="AA73" s="25"/>
    </row>
    <row r="74" spans="1:27" ht="15.75" customHeight="1" thickBot="1">
      <c r="A74" s="726" t="s">
        <v>34</v>
      </c>
      <c r="B74" s="727"/>
      <c r="C74" s="727"/>
      <c r="D74" s="727"/>
      <c r="E74" s="728"/>
      <c r="F74" s="41">
        <f>SUM(F72:F73)</f>
        <v>0.44636069461538458</v>
      </c>
      <c r="G74" s="2"/>
      <c r="H74" s="726" t="s">
        <v>34</v>
      </c>
      <c r="I74" s="727"/>
      <c r="J74" s="727"/>
      <c r="K74" s="727"/>
      <c r="L74" s="728"/>
      <c r="M74" s="41">
        <f>SUM(M72:M73)</f>
        <v>2.5119865930735927</v>
      </c>
      <c r="N74" s="60"/>
      <c r="O74" s="726" t="s">
        <v>34</v>
      </c>
      <c r="P74" s="727"/>
      <c r="Q74" s="727"/>
      <c r="R74" s="727"/>
      <c r="S74" s="728"/>
      <c r="T74" s="41">
        <f>SUM(T72:T73)</f>
        <v>0.9284302447999998</v>
      </c>
      <c r="V74" s="726" t="s">
        <v>34</v>
      </c>
      <c r="W74" s="727"/>
      <c r="X74" s="727"/>
      <c r="Y74" s="727"/>
      <c r="Z74" s="728"/>
      <c r="AA74" s="41">
        <f>SUM(AA72:AA73)</f>
        <v>1.0795700520930231</v>
      </c>
    </row>
    <row r="75" spans="1:27" ht="15.75" customHeight="1" thickBot="1">
      <c r="A75" s="729" t="s">
        <v>35</v>
      </c>
      <c r="B75" s="730"/>
      <c r="C75" s="730"/>
      <c r="D75" s="730"/>
      <c r="E75" s="730"/>
      <c r="F75" s="731"/>
      <c r="G75" s="2"/>
      <c r="H75" s="729" t="s">
        <v>35</v>
      </c>
      <c r="I75" s="730"/>
      <c r="J75" s="730"/>
      <c r="K75" s="730"/>
      <c r="L75" s="730"/>
      <c r="M75" s="731"/>
      <c r="N75" s="60"/>
      <c r="O75" s="729" t="s">
        <v>35</v>
      </c>
      <c r="P75" s="730"/>
      <c r="Q75" s="730"/>
      <c r="R75" s="730"/>
      <c r="S75" s="730"/>
      <c r="T75" s="731"/>
      <c r="V75" s="729" t="s">
        <v>35</v>
      </c>
      <c r="W75" s="730"/>
      <c r="X75" s="730"/>
      <c r="Y75" s="730"/>
      <c r="Z75" s="730"/>
      <c r="AA75" s="731"/>
    </row>
    <row r="76" spans="1:27" ht="15.75" customHeight="1" thickBot="1">
      <c r="A76" s="8" t="s">
        <v>1</v>
      </c>
      <c r="B76" s="5" t="s">
        <v>2</v>
      </c>
      <c r="C76" s="8" t="s">
        <v>3</v>
      </c>
      <c r="D76" s="8" t="s">
        <v>9</v>
      </c>
      <c r="E76" s="8" t="s">
        <v>10</v>
      </c>
      <c r="F76" s="8" t="s">
        <v>11</v>
      </c>
      <c r="G76" s="2"/>
      <c r="H76" s="8" t="s">
        <v>1</v>
      </c>
      <c r="I76" s="5" t="s">
        <v>2</v>
      </c>
      <c r="J76" s="8" t="s">
        <v>3</v>
      </c>
      <c r="K76" s="8" t="s">
        <v>9</v>
      </c>
      <c r="L76" s="8" t="s">
        <v>10</v>
      </c>
      <c r="M76" s="8" t="s">
        <v>11</v>
      </c>
      <c r="N76" s="60"/>
      <c r="O76" s="8" t="s">
        <v>1</v>
      </c>
      <c r="P76" s="5" t="s">
        <v>2</v>
      </c>
      <c r="Q76" s="8" t="s">
        <v>3</v>
      </c>
      <c r="R76" s="8" t="s">
        <v>9</v>
      </c>
      <c r="S76" s="8" t="s">
        <v>10</v>
      </c>
      <c r="T76" s="8" t="s">
        <v>11</v>
      </c>
      <c r="V76" s="8" t="s">
        <v>1</v>
      </c>
      <c r="W76" s="5" t="s">
        <v>2</v>
      </c>
      <c r="X76" s="8" t="s">
        <v>3</v>
      </c>
      <c r="Y76" s="8" t="s">
        <v>9</v>
      </c>
      <c r="Z76" s="8" t="s">
        <v>10</v>
      </c>
      <c r="AA76" s="8" t="s">
        <v>11</v>
      </c>
    </row>
    <row r="77" spans="1:27" ht="15.6" customHeight="1">
      <c r="A77" s="14"/>
      <c r="B77" s="15"/>
      <c r="C77" s="14"/>
      <c r="D77" s="14"/>
      <c r="E77" s="12"/>
      <c r="F77" s="13"/>
      <c r="G77" s="2"/>
      <c r="H77" s="9" t="str">
        <f>AUXILIARES!A2</f>
        <v>MORT-001</v>
      </c>
      <c r="I77" s="10" t="s">
        <v>36</v>
      </c>
      <c r="J77" s="9" t="s">
        <v>17</v>
      </c>
      <c r="K77" s="11">
        <v>2.6249999999999999E-2</v>
      </c>
      <c r="L77" s="12">
        <f>AUXILIARES!F7</f>
        <v>1479.9599999999998</v>
      </c>
      <c r="M77" s="13">
        <f>K77*L77</f>
        <v>38.848949999999995</v>
      </c>
      <c r="N77" s="60"/>
      <c r="O77" s="9"/>
      <c r="P77" s="10"/>
      <c r="Q77" s="9"/>
      <c r="R77" s="11"/>
      <c r="S77" s="12"/>
      <c r="T77" s="13"/>
      <c r="V77" s="463" t="s">
        <v>134</v>
      </c>
      <c r="W77" s="459" t="s">
        <v>1080</v>
      </c>
      <c r="X77" s="463" t="s">
        <v>17</v>
      </c>
      <c r="Y77" s="11">
        <f>(1*1*0.025)*1.05</f>
        <v>2.6250000000000002E-2</v>
      </c>
      <c r="Z77" s="12">
        <f>[1]AUXILIARES!T66</f>
        <v>1719.3400000000001</v>
      </c>
      <c r="AA77" s="13">
        <f>Y77*Z77</f>
        <v>45.132675000000006</v>
      </c>
    </row>
    <row r="78" spans="1:27" ht="15" customHeight="1">
      <c r="A78" s="42"/>
      <c r="B78" s="43"/>
      <c r="C78" s="42"/>
      <c r="D78" s="42"/>
      <c r="E78" s="44"/>
      <c r="F78" s="20"/>
      <c r="G78" s="2"/>
      <c r="H78" s="16" t="str">
        <f>AUXILIARES!A9</f>
        <v>LECH-001</v>
      </c>
      <c r="I78" s="17" t="s">
        <v>70</v>
      </c>
      <c r="J78" s="16" t="s">
        <v>17</v>
      </c>
      <c r="K78" s="18">
        <v>7.5599999999999994E-5</v>
      </c>
      <c r="L78" s="19">
        <f>AUXILIARES!F13</f>
        <v>6974.5</v>
      </c>
      <c r="M78" s="20">
        <f>K78*L78</f>
        <v>0.52727219999999997</v>
      </c>
      <c r="N78" s="60"/>
      <c r="O78" s="16"/>
      <c r="P78" s="17"/>
      <c r="Q78" s="16"/>
      <c r="R78" s="18"/>
      <c r="S78" s="19"/>
      <c r="T78" s="20"/>
      <c r="V78" s="16" t="s">
        <v>1093</v>
      </c>
      <c r="W78" s="17" t="s">
        <v>1101</v>
      </c>
      <c r="X78" s="16" t="s">
        <v>1094</v>
      </c>
      <c r="Y78" s="30">
        <f>Y63</f>
        <v>4.6511627906976744E-2</v>
      </c>
      <c r="Z78" s="19">
        <f>AUXILIARES!F140</f>
        <v>60.804654609999993</v>
      </c>
      <c r="AA78" s="20">
        <f>Z78*Y78</f>
        <v>2.8281234702325579</v>
      </c>
    </row>
    <row r="79" spans="1:27" ht="15.75" customHeight="1" thickBot="1">
      <c r="A79" s="23"/>
      <c r="B79" s="24"/>
      <c r="C79" s="23"/>
      <c r="D79" s="23"/>
      <c r="E79" s="34"/>
      <c r="F79" s="25"/>
      <c r="G79" s="2"/>
      <c r="H79" s="23"/>
      <c r="I79" s="24"/>
      <c r="J79" s="23"/>
      <c r="K79" s="23"/>
      <c r="L79" s="25"/>
      <c r="M79" s="25"/>
      <c r="N79" s="60"/>
      <c r="O79" s="23"/>
      <c r="P79" s="24"/>
      <c r="Q79" s="23"/>
      <c r="R79" s="23"/>
      <c r="S79" s="25"/>
      <c r="T79" s="25"/>
      <c r="V79" s="23"/>
      <c r="W79" s="24"/>
      <c r="X79" s="23"/>
      <c r="Y79" s="23"/>
      <c r="Z79" s="25"/>
      <c r="AA79" s="25"/>
    </row>
    <row r="80" spans="1:27" ht="15.75" customHeight="1" thickBot="1">
      <c r="A80" s="732" t="s">
        <v>43</v>
      </c>
      <c r="B80" s="746"/>
      <c r="C80" s="746"/>
      <c r="D80" s="746"/>
      <c r="E80" s="747"/>
      <c r="F80" s="49">
        <f>SUM(F77:F79)</f>
        <v>0</v>
      </c>
      <c r="G80" s="2"/>
      <c r="H80" s="732" t="s">
        <v>43</v>
      </c>
      <c r="I80" s="746"/>
      <c r="J80" s="746"/>
      <c r="K80" s="746"/>
      <c r="L80" s="747"/>
      <c r="M80" s="49">
        <f>SUM(M77:M79)</f>
        <v>39.376222199999994</v>
      </c>
      <c r="N80" s="60"/>
      <c r="O80" s="732" t="s">
        <v>43</v>
      </c>
      <c r="P80" s="746"/>
      <c r="Q80" s="746"/>
      <c r="R80" s="746"/>
      <c r="S80" s="747"/>
      <c r="T80" s="49">
        <f>SUM(T77:T79)</f>
        <v>0</v>
      </c>
      <c r="V80" s="732" t="s">
        <v>43</v>
      </c>
      <c r="W80" s="746"/>
      <c r="X80" s="746"/>
      <c r="Y80" s="746"/>
      <c r="Z80" s="747"/>
      <c r="AA80" s="49">
        <f>SUM(AA77:AA79)</f>
        <v>47.960798470232561</v>
      </c>
    </row>
    <row r="81" spans="1:27" ht="15.75" customHeight="1" thickBot="1">
      <c r="A81" s="50"/>
      <c r="B81" s="51"/>
      <c r="C81" s="52"/>
      <c r="D81" s="52"/>
      <c r="E81" s="52"/>
      <c r="F81" s="52"/>
      <c r="G81" s="53"/>
      <c r="H81" s="50"/>
      <c r="I81" s="51"/>
      <c r="J81" s="52"/>
      <c r="K81" s="52"/>
      <c r="L81" s="52"/>
      <c r="M81" s="52"/>
      <c r="N81" s="53"/>
      <c r="O81" s="50"/>
      <c r="P81" s="51"/>
      <c r="Q81" s="52"/>
      <c r="R81" s="52"/>
      <c r="S81" s="52"/>
      <c r="T81" s="52"/>
      <c r="V81" s="50"/>
      <c r="W81" s="51"/>
      <c r="X81" s="52"/>
      <c r="Y81" s="52"/>
      <c r="Z81" s="52"/>
      <c r="AA81" s="52"/>
    </row>
    <row r="82" spans="1:27" ht="15.75" customHeight="1" thickBot="1">
      <c r="A82" s="687" t="s">
        <v>44</v>
      </c>
      <c r="B82" s="748"/>
      <c r="C82" s="748"/>
      <c r="D82" s="748"/>
      <c r="E82" s="749"/>
      <c r="F82" s="54">
        <f>SUM(F80,F60,F65,F69,F74)</f>
        <v>306.93793646730768</v>
      </c>
      <c r="G82" s="2"/>
      <c r="H82" s="687" t="s">
        <v>44</v>
      </c>
      <c r="I82" s="748"/>
      <c r="J82" s="748"/>
      <c r="K82" s="748"/>
      <c r="L82" s="749"/>
      <c r="M82" s="54">
        <f>SUM(M80,M60,M65,M69,M74)</f>
        <v>433.08551833636358</v>
      </c>
      <c r="N82" s="60"/>
      <c r="O82" s="687" t="s">
        <v>44</v>
      </c>
      <c r="P82" s="748"/>
      <c r="Q82" s="748"/>
      <c r="R82" s="748"/>
      <c r="S82" s="749"/>
      <c r="T82" s="54">
        <f>SUM(T80,T60,T65,T69,T74)</f>
        <v>84.281375518666664</v>
      </c>
      <c r="V82" s="687" t="s">
        <v>44</v>
      </c>
      <c r="W82" s="748"/>
      <c r="X82" s="748"/>
      <c r="Y82" s="748"/>
      <c r="Z82" s="749"/>
      <c r="AA82" s="54">
        <f>SUM(AA80,AA60,AA65,AA69,AA74)</f>
        <v>104.84822620511626</v>
      </c>
    </row>
    <row r="83" spans="1:27" ht="15.75" customHeight="1" thickBot="1">
      <c r="A83" s="687" t="s">
        <v>45</v>
      </c>
      <c r="B83" s="688"/>
      <c r="C83" s="688"/>
      <c r="D83" s="688"/>
      <c r="E83" s="55"/>
      <c r="F83" s="54"/>
      <c r="G83" s="2"/>
      <c r="H83" s="687" t="s">
        <v>45</v>
      </c>
      <c r="I83" s="688"/>
      <c r="J83" s="688"/>
      <c r="K83" s="688"/>
      <c r="L83" s="55"/>
      <c r="M83" s="54"/>
      <c r="N83" s="60"/>
      <c r="O83" s="687" t="s">
        <v>45</v>
      </c>
      <c r="P83" s="688"/>
      <c r="Q83" s="688"/>
      <c r="R83" s="688"/>
      <c r="S83" s="55"/>
      <c r="T83" s="54"/>
      <c r="V83" s="687" t="s">
        <v>45</v>
      </c>
      <c r="W83" s="688"/>
      <c r="X83" s="688"/>
      <c r="Y83" s="688"/>
      <c r="Z83" s="55"/>
      <c r="AA83" s="54"/>
    </row>
    <row r="84" spans="1:27" ht="15.75" customHeight="1" thickBot="1">
      <c r="A84" s="687" t="s">
        <v>46</v>
      </c>
      <c r="B84" s="688"/>
      <c r="C84" s="688"/>
      <c r="D84" s="688"/>
      <c r="E84" s="689"/>
      <c r="F84" s="54"/>
      <c r="G84" s="2"/>
      <c r="H84" s="687" t="s">
        <v>46</v>
      </c>
      <c r="I84" s="688"/>
      <c r="J84" s="688"/>
      <c r="K84" s="688"/>
      <c r="L84" s="689"/>
      <c r="M84" s="54"/>
      <c r="N84" s="60"/>
      <c r="O84" s="687" t="s">
        <v>46</v>
      </c>
      <c r="P84" s="688"/>
      <c r="Q84" s="688"/>
      <c r="R84" s="688"/>
      <c r="S84" s="689"/>
      <c r="T84" s="54"/>
      <c r="V84" s="687" t="s">
        <v>46</v>
      </c>
      <c r="W84" s="688"/>
      <c r="X84" s="688"/>
      <c r="Y84" s="688"/>
      <c r="Z84" s="689"/>
      <c r="AA84" s="54"/>
    </row>
    <row r="85" spans="1:27" ht="15.75" customHeight="1" thickBot="1">
      <c r="A85" s="687" t="s">
        <v>47</v>
      </c>
      <c r="B85" s="688"/>
      <c r="C85" s="688"/>
      <c r="D85" s="688"/>
      <c r="E85" s="56"/>
      <c r="F85" s="54"/>
      <c r="G85" s="2"/>
      <c r="H85" s="687" t="s">
        <v>47</v>
      </c>
      <c r="I85" s="688"/>
      <c r="J85" s="688"/>
      <c r="K85" s="688"/>
      <c r="L85" s="56"/>
      <c r="M85" s="54"/>
      <c r="N85" s="60"/>
      <c r="O85" s="687" t="s">
        <v>47</v>
      </c>
      <c r="P85" s="688"/>
      <c r="Q85" s="688"/>
      <c r="R85" s="688"/>
      <c r="S85" s="56"/>
      <c r="T85" s="54"/>
      <c r="V85" s="687" t="s">
        <v>47</v>
      </c>
      <c r="W85" s="688"/>
      <c r="X85" s="688"/>
      <c r="Y85" s="688"/>
      <c r="Z85" s="56"/>
      <c r="AA85" s="54"/>
    </row>
    <row r="86" spans="1:27" ht="15.75" customHeight="1" thickBot="1">
      <c r="A86" s="687" t="s">
        <v>46</v>
      </c>
      <c r="B86" s="688"/>
      <c r="C86" s="688"/>
      <c r="D86" s="688"/>
      <c r="E86" s="689"/>
      <c r="F86" s="54"/>
      <c r="G86" s="2"/>
      <c r="H86" s="687" t="s">
        <v>46</v>
      </c>
      <c r="I86" s="688"/>
      <c r="J86" s="688"/>
      <c r="K86" s="688"/>
      <c r="L86" s="689"/>
      <c r="M86" s="54"/>
      <c r="N86" s="60"/>
      <c r="O86" s="687" t="s">
        <v>46</v>
      </c>
      <c r="P86" s="688"/>
      <c r="Q86" s="688"/>
      <c r="R86" s="688"/>
      <c r="S86" s="689"/>
      <c r="T86" s="54"/>
      <c r="V86" s="687" t="s">
        <v>46</v>
      </c>
      <c r="W86" s="688"/>
      <c r="X86" s="688"/>
      <c r="Y86" s="688"/>
      <c r="Z86" s="689"/>
      <c r="AA86" s="54"/>
    </row>
    <row r="87" spans="1:27" ht="15.75" customHeight="1" thickBot="1">
      <c r="A87" s="687" t="s">
        <v>48</v>
      </c>
      <c r="B87" s="688"/>
      <c r="C87" s="688"/>
      <c r="D87" s="688"/>
      <c r="E87" s="55"/>
      <c r="F87" s="54"/>
      <c r="G87" s="2"/>
      <c r="H87" s="687" t="s">
        <v>48</v>
      </c>
      <c r="I87" s="688"/>
      <c r="J87" s="688"/>
      <c r="K87" s="688"/>
      <c r="L87" s="55"/>
      <c r="M87" s="54"/>
      <c r="N87" s="60"/>
      <c r="O87" s="687" t="s">
        <v>48</v>
      </c>
      <c r="P87" s="688"/>
      <c r="Q87" s="688"/>
      <c r="R87" s="688"/>
      <c r="S87" s="55"/>
      <c r="T87" s="54"/>
      <c r="V87" s="687" t="s">
        <v>48</v>
      </c>
      <c r="W87" s="688"/>
      <c r="X87" s="688"/>
      <c r="Y87" s="688"/>
      <c r="Z87" s="55"/>
      <c r="AA87" s="54"/>
    </row>
    <row r="88" spans="1:27" ht="15.75" customHeight="1" thickBot="1">
      <c r="A88" s="687" t="s">
        <v>46</v>
      </c>
      <c r="B88" s="688"/>
      <c r="C88" s="688"/>
      <c r="D88" s="688"/>
      <c r="E88" s="689"/>
      <c r="F88" s="54"/>
      <c r="G88" s="2"/>
      <c r="H88" s="687" t="s">
        <v>46</v>
      </c>
      <c r="I88" s="688"/>
      <c r="J88" s="688"/>
      <c r="K88" s="688"/>
      <c r="L88" s="689"/>
      <c r="M88" s="54"/>
      <c r="N88" s="60"/>
      <c r="O88" s="687" t="s">
        <v>46</v>
      </c>
      <c r="P88" s="688"/>
      <c r="Q88" s="688"/>
      <c r="R88" s="688"/>
      <c r="S88" s="689"/>
      <c r="T88" s="54"/>
      <c r="V88" s="687" t="s">
        <v>46</v>
      </c>
      <c r="W88" s="688"/>
      <c r="X88" s="688"/>
      <c r="Y88" s="688"/>
      <c r="Z88" s="689"/>
      <c r="AA88" s="54"/>
    </row>
    <row r="89" spans="1:27" ht="15.75" customHeight="1" thickBot="1">
      <c r="A89" s="687" t="s">
        <v>49</v>
      </c>
      <c r="B89" s="688"/>
      <c r="C89" s="688"/>
      <c r="D89" s="688"/>
      <c r="E89" s="56"/>
      <c r="F89" s="54"/>
      <c r="G89" s="2"/>
      <c r="H89" s="687" t="s">
        <v>49</v>
      </c>
      <c r="I89" s="688"/>
      <c r="J89" s="688"/>
      <c r="K89" s="688"/>
      <c r="L89" s="56"/>
      <c r="M89" s="54"/>
      <c r="N89" s="60"/>
      <c r="O89" s="687" t="s">
        <v>49</v>
      </c>
      <c r="P89" s="688"/>
      <c r="Q89" s="688"/>
      <c r="R89" s="688"/>
      <c r="S89" s="56"/>
      <c r="T89" s="54"/>
      <c r="V89" s="687" t="s">
        <v>49</v>
      </c>
      <c r="W89" s="688"/>
      <c r="X89" s="688"/>
      <c r="Y89" s="688"/>
      <c r="Z89" s="56"/>
      <c r="AA89" s="54"/>
    </row>
    <row r="90" spans="1:27" ht="16.5" customHeight="1" thickBot="1">
      <c r="A90" s="690" t="s">
        <v>50</v>
      </c>
      <c r="B90" s="691"/>
      <c r="C90" s="691"/>
      <c r="D90" s="691"/>
      <c r="E90" s="692"/>
      <c r="F90" s="57"/>
      <c r="G90" s="2"/>
      <c r="H90" s="690" t="s">
        <v>50</v>
      </c>
      <c r="I90" s="691"/>
      <c r="J90" s="691"/>
      <c r="K90" s="691"/>
      <c r="L90" s="692"/>
      <c r="M90" s="57"/>
      <c r="N90" s="60"/>
      <c r="O90" s="690" t="s">
        <v>50</v>
      </c>
      <c r="P90" s="691"/>
      <c r="Q90" s="691"/>
      <c r="R90" s="691"/>
      <c r="S90" s="692"/>
      <c r="T90" s="57"/>
      <c r="V90" s="690" t="s">
        <v>50</v>
      </c>
      <c r="W90" s="691"/>
      <c r="X90" s="691"/>
      <c r="Y90" s="691"/>
      <c r="Z90" s="692"/>
      <c r="AA90" s="57"/>
    </row>
    <row r="91" spans="1:27" ht="19.5" customHeight="1" thickBot="1">
      <c r="A91" s="693" t="s">
        <v>1399</v>
      </c>
      <c r="B91" s="694"/>
      <c r="C91" s="694"/>
      <c r="D91" s="694"/>
      <c r="E91" s="694"/>
      <c r="F91" s="695"/>
      <c r="G91" s="2"/>
      <c r="H91" s="693" t="s">
        <v>1400</v>
      </c>
      <c r="I91" s="694"/>
      <c r="J91" s="694"/>
      <c r="K91" s="694"/>
      <c r="L91" s="694"/>
      <c r="M91" s="695"/>
      <c r="N91" s="60"/>
      <c r="O91" s="693" t="s">
        <v>1401</v>
      </c>
      <c r="P91" s="694"/>
      <c r="Q91" s="694"/>
      <c r="R91" s="694"/>
      <c r="S91" s="694"/>
      <c r="T91" s="695"/>
      <c r="V91" s="693" t="s">
        <v>1402</v>
      </c>
      <c r="W91" s="694"/>
      <c r="X91" s="694"/>
      <c r="Y91" s="694"/>
      <c r="Z91" s="694"/>
      <c r="AA91" s="695"/>
    </row>
    <row r="92" spans="1:27" ht="15.75" customHeight="1" thickBot="1">
      <c r="A92" s="58"/>
      <c r="B92" s="58"/>
      <c r="C92" s="58"/>
      <c r="D92" s="58"/>
      <c r="E92" s="58"/>
      <c r="F92" s="58"/>
      <c r="G92" s="53"/>
      <c r="H92" s="59"/>
      <c r="I92" s="59"/>
      <c r="J92" s="59"/>
      <c r="K92" s="59"/>
      <c r="L92" s="59"/>
      <c r="M92" s="59"/>
      <c r="N92" s="53"/>
      <c r="O92" s="61"/>
      <c r="P92" s="61"/>
      <c r="Q92" s="61"/>
      <c r="R92" s="61"/>
      <c r="S92" s="61"/>
      <c r="T92" s="61"/>
    </row>
    <row r="93" spans="1:27" ht="27" customHeight="1" thickBot="1">
      <c r="A93" s="696" t="s">
        <v>0</v>
      </c>
      <c r="B93" s="697"/>
      <c r="C93" s="697"/>
      <c r="D93" s="697"/>
      <c r="E93" s="697"/>
      <c r="F93" s="698"/>
      <c r="G93" s="60"/>
      <c r="H93" s="696" t="s">
        <v>0</v>
      </c>
      <c r="I93" s="697"/>
      <c r="J93" s="697"/>
      <c r="K93" s="697"/>
      <c r="L93" s="697"/>
      <c r="M93" s="698"/>
      <c r="N93" s="53"/>
      <c r="O93" s="696" t="s">
        <v>0</v>
      </c>
      <c r="P93" s="697"/>
      <c r="Q93" s="697"/>
      <c r="R93" s="697"/>
      <c r="S93" s="697"/>
      <c r="T93" s="698"/>
    </row>
    <row r="94" spans="1:27" ht="19.5" customHeight="1" thickBot="1">
      <c r="A94" s="3" t="s">
        <v>1</v>
      </c>
      <c r="B94" s="693" t="s">
        <v>2</v>
      </c>
      <c r="C94" s="694"/>
      <c r="D94" s="694"/>
      <c r="E94" s="695"/>
      <c r="F94" s="3" t="s">
        <v>3</v>
      </c>
      <c r="G94" s="60"/>
      <c r="H94" s="3" t="s">
        <v>1</v>
      </c>
      <c r="I94" s="693" t="s">
        <v>2</v>
      </c>
      <c r="J94" s="694"/>
      <c r="K94" s="694"/>
      <c r="L94" s="695"/>
      <c r="M94" s="3" t="s">
        <v>3</v>
      </c>
      <c r="N94" s="53"/>
      <c r="O94" s="3" t="s">
        <v>1</v>
      </c>
      <c r="P94" s="693" t="s">
        <v>2</v>
      </c>
      <c r="Q94" s="694"/>
      <c r="R94" s="694"/>
      <c r="S94" s="695"/>
      <c r="T94" s="3" t="s">
        <v>3</v>
      </c>
    </row>
    <row r="95" spans="1:27" ht="73.5" customHeight="1" thickBot="1">
      <c r="A95" s="5" t="s">
        <v>1102</v>
      </c>
      <c r="B95" s="743" t="s">
        <v>1108</v>
      </c>
      <c r="C95" s="744"/>
      <c r="D95" s="744"/>
      <c r="E95" s="745"/>
      <c r="F95" s="5" t="s">
        <v>64</v>
      </c>
      <c r="G95" s="60"/>
      <c r="H95" s="5" t="s">
        <v>1103</v>
      </c>
      <c r="I95" s="743" t="s">
        <v>1104</v>
      </c>
      <c r="J95" s="744"/>
      <c r="K95" s="744"/>
      <c r="L95" s="745"/>
      <c r="M95" s="5" t="s">
        <v>294</v>
      </c>
      <c r="N95" s="53"/>
      <c r="O95" s="5" t="s">
        <v>970</v>
      </c>
      <c r="P95" s="743" t="s">
        <v>1107</v>
      </c>
      <c r="Q95" s="744"/>
      <c r="R95" s="744"/>
      <c r="S95" s="745"/>
      <c r="T95" s="5" t="s">
        <v>294</v>
      </c>
    </row>
    <row r="96" spans="1:27" ht="15.75" customHeight="1" thickBot="1">
      <c r="A96" s="705" t="s">
        <v>8</v>
      </c>
      <c r="B96" s="706"/>
      <c r="C96" s="706"/>
      <c r="D96" s="706"/>
      <c r="E96" s="706"/>
      <c r="F96" s="707"/>
      <c r="G96" s="60"/>
      <c r="H96" s="705" t="s">
        <v>8</v>
      </c>
      <c r="I96" s="706"/>
      <c r="J96" s="706"/>
      <c r="K96" s="706"/>
      <c r="L96" s="706"/>
      <c r="M96" s="707"/>
      <c r="N96" s="53"/>
      <c r="O96" s="705" t="s">
        <v>8</v>
      </c>
      <c r="P96" s="706"/>
      <c r="Q96" s="706"/>
      <c r="R96" s="706"/>
      <c r="S96" s="706"/>
      <c r="T96" s="707"/>
    </row>
    <row r="97" spans="1:20" ht="15.75" customHeight="1" thickBot="1">
      <c r="A97" s="8" t="s">
        <v>1</v>
      </c>
      <c r="B97" s="5" t="s">
        <v>2</v>
      </c>
      <c r="C97" s="8" t="s">
        <v>3</v>
      </c>
      <c r="D97" s="8" t="s">
        <v>9</v>
      </c>
      <c r="E97" s="8" t="s">
        <v>10</v>
      </c>
      <c r="F97" s="8" t="s">
        <v>11</v>
      </c>
      <c r="G97" s="60"/>
      <c r="H97" s="8" t="s">
        <v>1</v>
      </c>
      <c r="I97" s="5" t="s">
        <v>2</v>
      </c>
      <c r="J97" s="8" t="s">
        <v>3</v>
      </c>
      <c r="K97" s="8" t="s">
        <v>9</v>
      </c>
      <c r="L97" s="8" t="s">
        <v>10</v>
      </c>
      <c r="M97" s="8" t="s">
        <v>11</v>
      </c>
      <c r="N97" s="53"/>
      <c r="O97" s="8" t="s">
        <v>1</v>
      </c>
      <c r="P97" s="5" t="s">
        <v>2</v>
      </c>
      <c r="Q97" s="8" t="s">
        <v>3</v>
      </c>
      <c r="R97" s="8" t="s">
        <v>9</v>
      </c>
      <c r="S97" s="8" t="s">
        <v>10</v>
      </c>
      <c r="T97" s="8" t="s">
        <v>11</v>
      </c>
    </row>
    <row r="98" spans="1:20" ht="15.6" customHeight="1">
      <c r="A98" s="9" t="s">
        <v>984</v>
      </c>
      <c r="B98" s="10" t="s">
        <v>971</v>
      </c>
      <c r="C98" s="9" t="s">
        <v>64</v>
      </c>
      <c r="D98" s="11">
        <v>1</v>
      </c>
      <c r="E98" s="12">
        <f>MATERIALES!E194</f>
        <v>176.72</v>
      </c>
      <c r="F98" s="13">
        <f>D98*E98</f>
        <v>176.72</v>
      </c>
      <c r="G98" s="60"/>
      <c r="H98" s="9" t="s">
        <v>292</v>
      </c>
      <c r="I98" s="10" t="s">
        <v>1105</v>
      </c>
      <c r="J98" s="9" t="s">
        <v>64</v>
      </c>
      <c r="K98" s="11">
        <f>((1*1)/3)*1.05</f>
        <v>0.35</v>
      </c>
      <c r="L98" s="12">
        <f>MATERIALES!E2</f>
        <v>126.47</v>
      </c>
      <c r="M98" s="13">
        <f>K98*L98</f>
        <v>44.264499999999998</v>
      </c>
      <c r="N98" s="53"/>
      <c r="O98" s="9" t="s">
        <v>434</v>
      </c>
      <c r="P98" s="10" t="s">
        <v>1112</v>
      </c>
      <c r="Q98" s="9" t="s">
        <v>833</v>
      </c>
      <c r="R98" s="11">
        <f>(1*2)*1.05</f>
        <v>2.1</v>
      </c>
      <c r="S98" s="12">
        <f>MATERIALES!E55</f>
        <v>9.98</v>
      </c>
      <c r="T98" s="13">
        <f>R98*S98</f>
        <v>20.958000000000002</v>
      </c>
    </row>
    <row r="99" spans="1:20" ht="15" customHeight="1">
      <c r="A99" s="16" t="s">
        <v>985</v>
      </c>
      <c r="B99" s="17" t="s">
        <v>974</v>
      </c>
      <c r="C99" s="16" t="s">
        <v>64</v>
      </c>
      <c r="D99" s="18">
        <v>7</v>
      </c>
      <c r="E99" s="20">
        <f>MATERIALES!E116</f>
        <v>84.62</v>
      </c>
      <c r="F99" s="20">
        <f>D99*E99</f>
        <v>592.34</v>
      </c>
      <c r="G99" s="60"/>
      <c r="H99" s="16" t="s">
        <v>348</v>
      </c>
      <c r="I99" s="17" t="s">
        <v>1059</v>
      </c>
      <c r="J99" s="16" t="s">
        <v>64</v>
      </c>
      <c r="K99" s="494">
        <f>(1/350)</f>
        <v>2.8571428571428571E-3</v>
      </c>
      <c r="L99" s="20">
        <f>MATERIALES!E24</f>
        <v>89</v>
      </c>
      <c r="M99" s="20">
        <f>K99*L99</f>
        <v>0.25428571428571428</v>
      </c>
      <c r="N99" s="53"/>
      <c r="O99" s="16" t="s">
        <v>446</v>
      </c>
      <c r="P99" s="17" t="s">
        <v>1113</v>
      </c>
      <c r="Q99" s="16" t="s">
        <v>39</v>
      </c>
      <c r="R99" s="494">
        <f>(1.05*19)/1000</f>
        <v>1.9949999999999999E-2</v>
      </c>
      <c r="S99" s="20">
        <f>MATERIALES!E61</f>
        <v>162.53</v>
      </c>
      <c r="T99" s="20">
        <f>R99*S99</f>
        <v>3.2424735</v>
      </c>
    </row>
    <row r="100" spans="1:20" ht="15" customHeight="1">
      <c r="A100" s="16" t="s">
        <v>986</v>
      </c>
      <c r="B100" s="17" t="s">
        <v>973</v>
      </c>
      <c r="C100" s="16" t="s">
        <v>64</v>
      </c>
      <c r="D100" s="18">
        <v>3</v>
      </c>
      <c r="E100" s="20">
        <f>MATERIALES!E195</f>
        <v>84.62</v>
      </c>
      <c r="F100" s="20">
        <f>D100*E100</f>
        <v>253.86</v>
      </c>
      <c r="G100" s="60"/>
      <c r="H100" s="16"/>
      <c r="I100" s="17"/>
      <c r="J100" s="16"/>
      <c r="K100" s="18"/>
      <c r="L100" s="20"/>
      <c r="M100" s="20"/>
      <c r="N100" s="53"/>
      <c r="O100" s="16"/>
      <c r="P100" s="17"/>
      <c r="Q100" s="16"/>
      <c r="R100" s="18"/>
      <c r="S100" s="20"/>
      <c r="T100" s="20"/>
    </row>
    <row r="101" spans="1:20" ht="15" customHeight="1">
      <c r="A101" s="21" t="s">
        <v>987</v>
      </c>
      <c r="B101" s="22" t="s">
        <v>972</v>
      </c>
      <c r="C101" s="21" t="s">
        <v>64</v>
      </c>
      <c r="D101" s="21">
        <v>1</v>
      </c>
      <c r="E101" s="20">
        <f>MATERIALES!E196</f>
        <v>84.62</v>
      </c>
      <c r="F101" s="20">
        <f>D101*E101</f>
        <v>84.62</v>
      </c>
      <c r="G101" s="60"/>
      <c r="H101" s="21"/>
      <c r="I101" s="22"/>
      <c r="J101" s="21"/>
      <c r="K101" s="21"/>
      <c r="L101" s="20"/>
      <c r="M101" s="20"/>
      <c r="N101" s="53"/>
      <c r="O101" s="21"/>
      <c r="P101" s="22"/>
      <c r="Q101" s="21"/>
      <c r="R101" s="21"/>
      <c r="S101" s="20"/>
      <c r="T101" s="20"/>
    </row>
    <row r="102" spans="1:20" ht="15" customHeight="1">
      <c r="A102" s="21"/>
      <c r="B102" s="22"/>
      <c r="C102" s="21"/>
      <c r="D102" s="21"/>
      <c r="E102" s="20"/>
      <c r="F102" s="20"/>
      <c r="G102" s="60"/>
      <c r="H102" s="21"/>
      <c r="I102" s="22"/>
      <c r="J102" s="21"/>
      <c r="K102" s="21"/>
      <c r="L102" s="20"/>
      <c r="M102" s="20"/>
      <c r="N102" s="53"/>
      <c r="O102" s="21"/>
      <c r="P102" s="22"/>
      <c r="Q102" s="21"/>
      <c r="R102" s="21"/>
      <c r="S102" s="20"/>
      <c r="T102" s="20"/>
    </row>
    <row r="103" spans="1:20" ht="15" customHeight="1">
      <c r="A103" s="21"/>
      <c r="B103" s="22"/>
      <c r="C103" s="21"/>
      <c r="D103" s="21"/>
      <c r="E103" s="20"/>
      <c r="F103" s="20"/>
      <c r="G103" s="60"/>
      <c r="H103" s="21"/>
      <c r="I103" s="22"/>
      <c r="J103" s="21"/>
      <c r="K103" s="21"/>
      <c r="L103" s="20"/>
      <c r="M103" s="20"/>
      <c r="N103" s="53"/>
      <c r="O103" s="21"/>
      <c r="P103" s="22"/>
      <c r="Q103" s="21"/>
      <c r="R103" s="21"/>
      <c r="S103" s="20"/>
      <c r="T103" s="20"/>
    </row>
    <row r="104" spans="1:20" ht="15.75" customHeight="1" thickBot="1">
      <c r="A104" s="23"/>
      <c r="B104" s="24"/>
      <c r="C104" s="23"/>
      <c r="D104" s="23"/>
      <c r="E104" s="25"/>
      <c r="F104" s="25"/>
      <c r="G104" s="60"/>
      <c r="H104" s="23"/>
      <c r="I104" s="24"/>
      <c r="J104" s="23"/>
      <c r="K104" s="23"/>
      <c r="L104" s="25"/>
      <c r="M104" s="25"/>
      <c r="N104" s="53"/>
      <c r="O104" s="23"/>
      <c r="P104" s="24"/>
      <c r="Q104" s="23"/>
      <c r="R104" s="23"/>
      <c r="S104" s="25"/>
      <c r="T104" s="25"/>
    </row>
    <row r="105" spans="1:20" ht="15.75" customHeight="1" thickBot="1">
      <c r="A105" s="708" t="s">
        <v>18</v>
      </c>
      <c r="B105" s="709"/>
      <c r="C105" s="709"/>
      <c r="D105" s="709"/>
      <c r="E105" s="710"/>
      <c r="F105" s="26">
        <f>SUM(F98:F104)</f>
        <v>1107.54</v>
      </c>
      <c r="G105" s="60"/>
      <c r="H105" s="708" t="s">
        <v>18</v>
      </c>
      <c r="I105" s="709"/>
      <c r="J105" s="709"/>
      <c r="K105" s="709"/>
      <c r="L105" s="710"/>
      <c r="M105" s="26">
        <f>SUM(M98:M104)</f>
        <v>44.518785714285713</v>
      </c>
      <c r="N105" s="53"/>
      <c r="O105" s="708" t="s">
        <v>18</v>
      </c>
      <c r="P105" s="709"/>
      <c r="Q105" s="709"/>
      <c r="R105" s="709"/>
      <c r="S105" s="710"/>
      <c r="T105" s="26">
        <f>SUM(T98:T104)</f>
        <v>24.200473500000001</v>
      </c>
    </row>
    <row r="106" spans="1:20" ht="15.75" customHeight="1" thickBot="1">
      <c r="A106" s="711" t="s">
        <v>19</v>
      </c>
      <c r="B106" s="712"/>
      <c r="C106" s="712"/>
      <c r="D106" s="712"/>
      <c r="E106" s="712"/>
      <c r="F106" s="713"/>
      <c r="G106" s="60"/>
      <c r="H106" s="711" t="s">
        <v>19</v>
      </c>
      <c r="I106" s="712"/>
      <c r="J106" s="712"/>
      <c r="K106" s="712"/>
      <c r="L106" s="712"/>
      <c r="M106" s="713"/>
      <c r="N106" s="53"/>
      <c r="O106" s="711" t="s">
        <v>19</v>
      </c>
      <c r="P106" s="712"/>
      <c r="Q106" s="712"/>
      <c r="R106" s="712"/>
      <c r="S106" s="712"/>
      <c r="T106" s="713"/>
    </row>
    <row r="107" spans="1:20" ht="15.75" customHeight="1" thickBot="1">
      <c r="A107" s="8" t="s">
        <v>1</v>
      </c>
      <c r="B107" s="5" t="s">
        <v>2</v>
      </c>
      <c r="C107" s="8" t="s">
        <v>3</v>
      </c>
      <c r="D107" s="8" t="s">
        <v>9</v>
      </c>
      <c r="E107" s="8" t="s">
        <v>10</v>
      </c>
      <c r="F107" s="8" t="s">
        <v>11</v>
      </c>
      <c r="G107" s="60"/>
      <c r="H107" s="8" t="s">
        <v>1</v>
      </c>
      <c r="I107" s="5" t="s">
        <v>2</v>
      </c>
      <c r="J107" s="8" t="s">
        <v>3</v>
      </c>
      <c r="K107" s="8" t="s">
        <v>9</v>
      </c>
      <c r="L107" s="8" t="s">
        <v>10</v>
      </c>
      <c r="M107" s="8" t="s">
        <v>11</v>
      </c>
      <c r="N107" s="53"/>
      <c r="O107" s="8" t="s">
        <v>1</v>
      </c>
      <c r="P107" s="5" t="s">
        <v>2</v>
      </c>
      <c r="Q107" s="8" t="s">
        <v>3</v>
      </c>
      <c r="R107" s="8" t="s">
        <v>9</v>
      </c>
      <c r="S107" s="8" t="s">
        <v>10</v>
      </c>
      <c r="T107" s="8" t="s">
        <v>11</v>
      </c>
    </row>
    <row r="108" spans="1:20" ht="15.6" customHeight="1">
      <c r="A108" s="9" t="s">
        <v>287</v>
      </c>
      <c r="B108" s="10" t="s">
        <v>983</v>
      </c>
      <c r="C108" s="9" t="s">
        <v>21</v>
      </c>
      <c r="D108" s="27">
        <f>1/0.6</f>
        <v>1.6666666666666667</v>
      </c>
      <c r="E108" s="12">
        <f>'ANÁLISIS CUADRILLAS'!F49</f>
        <v>1160.5378059999998</v>
      </c>
      <c r="F108" s="13">
        <f>D108*E108</f>
        <v>1934.2296766666664</v>
      </c>
      <c r="G108" s="60"/>
      <c r="H108" s="9" t="s">
        <v>287</v>
      </c>
      <c r="I108" s="10" t="s">
        <v>983</v>
      </c>
      <c r="J108" s="9" t="s">
        <v>21</v>
      </c>
      <c r="K108" s="27">
        <f>1/58.8</f>
        <v>1.7006802721088437E-2</v>
      </c>
      <c r="L108" s="12">
        <f>'ANÁLISIS CUADRILLAS'!F49</f>
        <v>1160.5378059999998</v>
      </c>
      <c r="M108" s="13">
        <f>K108*L108</f>
        <v>19.737037517006801</v>
      </c>
      <c r="N108" s="53"/>
      <c r="O108" s="9" t="s">
        <v>287</v>
      </c>
      <c r="P108" s="10" t="s">
        <v>983</v>
      </c>
      <c r="Q108" s="9" t="s">
        <v>21</v>
      </c>
      <c r="R108" s="27">
        <f>1/100</f>
        <v>0.01</v>
      </c>
      <c r="S108" s="12">
        <f>'ANÁLISIS CUADRILLAS'!F49</f>
        <v>1160.5378059999998</v>
      </c>
      <c r="T108" s="13">
        <f>R108*S108</f>
        <v>11.605378059999998</v>
      </c>
    </row>
    <row r="109" spans="1:20" ht="15.75" customHeight="1" thickBot="1">
      <c r="A109" s="23"/>
      <c r="B109" s="24"/>
      <c r="C109" s="23"/>
      <c r="D109" s="23"/>
      <c r="E109" s="25"/>
      <c r="F109" s="25"/>
      <c r="G109" s="60"/>
      <c r="H109" s="23"/>
      <c r="I109" s="24"/>
      <c r="J109" s="23"/>
      <c r="K109" s="23"/>
      <c r="L109" s="25"/>
      <c r="M109" s="25"/>
      <c r="N109" s="53"/>
      <c r="O109" s="23"/>
      <c r="P109" s="24"/>
      <c r="Q109" s="23"/>
      <c r="R109" s="23"/>
      <c r="S109" s="25"/>
      <c r="T109" s="25"/>
    </row>
    <row r="110" spans="1:20" ht="15.75" customHeight="1" thickBot="1">
      <c r="A110" s="714" t="s">
        <v>18</v>
      </c>
      <c r="B110" s="715"/>
      <c r="C110" s="715"/>
      <c r="D110" s="715"/>
      <c r="E110" s="716"/>
      <c r="F110" s="35">
        <f>SUM(F108:F109)</f>
        <v>1934.2296766666664</v>
      </c>
      <c r="G110" s="60"/>
      <c r="H110" s="714" t="s">
        <v>18</v>
      </c>
      <c r="I110" s="715"/>
      <c r="J110" s="715"/>
      <c r="K110" s="715"/>
      <c r="L110" s="716"/>
      <c r="M110" s="35">
        <f>SUM(M108:M109)</f>
        <v>19.737037517006801</v>
      </c>
      <c r="N110" s="53"/>
      <c r="O110" s="714" t="s">
        <v>18</v>
      </c>
      <c r="P110" s="715"/>
      <c r="Q110" s="715"/>
      <c r="R110" s="715"/>
      <c r="S110" s="716"/>
      <c r="T110" s="35">
        <f>SUM(T108:T109)</f>
        <v>11.605378059999998</v>
      </c>
    </row>
    <row r="111" spans="1:20" ht="15.75" customHeight="1" thickBot="1">
      <c r="A111" s="717" t="s">
        <v>23</v>
      </c>
      <c r="B111" s="718"/>
      <c r="C111" s="718"/>
      <c r="D111" s="718"/>
      <c r="E111" s="718"/>
      <c r="F111" s="719"/>
      <c r="G111" s="60"/>
      <c r="H111" s="717" t="s">
        <v>23</v>
      </c>
      <c r="I111" s="718"/>
      <c r="J111" s="718"/>
      <c r="K111" s="718"/>
      <c r="L111" s="718"/>
      <c r="M111" s="719"/>
      <c r="N111" s="53"/>
      <c r="O111" s="717" t="s">
        <v>23</v>
      </c>
      <c r="P111" s="718"/>
      <c r="Q111" s="718"/>
      <c r="R111" s="718"/>
      <c r="S111" s="718"/>
      <c r="T111" s="719"/>
    </row>
    <row r="112" spans="1:20" ht="15.75" customHeight="1" thickBot="1">
      <c r="A112" s="8" t="s">
        <v>1</v>
      </c>
      <c r="B112" s="5" t="s">
        <v>2</v>
      </c>
      <c r="C112" s="8" t="s">
        <v>3</v>
      </c>
      <c r="D112" s="8" t="s">
        <v>9</v>
      </c>
      <c r="E112" s="8" t="s">
        <v>10</v>
      </c>
      <c r="F112" s="8" t="s">
        <v>11</v>
      </c>
      <c r="G112" s="60"/>
      <c r="H112" s="8" t="s">
        <v>1</v>
      </c>
      <c r="I112" s="5" t="s">
        <v>2</v>
      </c>
      <c r="J112" s="8" t="s">
        <v>3</v>
      </c>
      <c r="K112" s="8" t="s">
        <v>9</v>
      </c>
      <c r="L112" s="8" t="s">
        <v>10</v>
      </c>
      <c r="M112" s="8" t="s">
        <v>11</v>
      </c>
      <c r="N112" s="53"/>
      <c r="O112" s="8" t="s">
        <v>1</v>
      </c>
      <c r="P112" s="5" t="s">
        <v>2</v>
      </c>
      <c r="Q112" s="8" t="s">
        <v>3</v>
      </c>
      <c r="R112" s="8" t="s">
        <v>9</v>
      </c>
      <c r="S112" s="8" t="s">
        <v>10</v>
      </c>
      <c r="T112" s="8" t="s">
        <v>11</v>
      </c>
    </row>
    <row r="113" spans="1:256" ht="15.75" customHeight="1" thickBot="1">
      <c r="A113" s="36" t="s">
        <v>24</v>
      </c>
      <c r="B113" s="37" t="s">
        <v>23</v>
      </c>
      <c r="C113" s="36" t="s">
        <v>25</v>
      </c>
      <c r="D113" s="38">
        <v>0.03</v>
      </c>
      <c r="E113" s="39">
        <f>F108</f>
        <v>1934.2296766666664</v>
      </c>
      <c r="F113" s="39">
        <f>(D113*E113)</f>
        <v>58.026890299999991</v>
      </c>
      <c r="G113" s="60"/>
      <c r="H113" s="36" t="s">
        <v>24</v>
      </c>
      <c r="I113" s="37" t="s">
        <v>23</v>
      </c>
      <c r="J113" s="36" t="s">
        <v>25</v>
      </c>
      <c r="K113" s="38">
        <v>0.03</v>
      </c>
      <c r="L113" s="39">
        <f>M108</f>
        <v>19.737037517006801</v>
      </c>
      <c r="M113" s="39">
        <f>(K113*L113)</f>
        <v>0.59211112551020395</v>
      </c>
      <c r="N113" s="53"/>
      <c r="O113" s="36" t="s">
        <v>24</v>
      </c>
      <c r="P113" s="37" t="s">
        <v>23</v>
      </c>
      <c r="Q113" s="36" t="s">
        <v>25</v>
      </c>
      <c r="R113" s="38">
        <v>0.03</v>
      </c>
      <c r="S113" s="39">
        <f>T108</f>
        <v>11.605378059999998</v>
      </c>
      <c r="T113" s="39">
        <f>(R113*S113)</f>
        <v>0.34816134179999991</v>
      </c>
    </row>
    <row r="114" spans="1:256" ht="15.75" customHeight="1" thickBot="1">
      <c r="A114" s="720" t="s">
        <v>26</v>
      </c>
      <c r="B114" s="721"/>
      <c r="C114" s="721"/>
      <c r="D114" s="721"/>
      <c r="E114" s="722"/>
      <c r="F114" s="40">
        <f>SUM(F113)</f>
        <v>58.026890299999991</v>
      </c>
      <c r="G114" s="60"/>
      <c r="H114" s="720" t="s">
        <v>26</v>
      </c>
      <c r="I114" s="721"/>
      <c r="J114" s="721"/>
      <c r="K114" s="721"/>
      <c r="L114" s="722"/>
      <c r="M114" s="40">
        <f>SUM(M113)</f>
        <v>0.59211112551020395</v>
      </c>
      <c r="N114" s="53"/>
      <c r="O114" s="720" t="s">
        <v>26</v>
      </c>
      <c r="P114" s="721"/>
      <c r="Q114" s="721"/>
      <c r="R114" s="721"/>
      <c r="S114" s="722"/>
      <c r="T114" s="40">
        <f>SUM(T113)</f>
        <v>0.34816134179999991</v>
      </c>
    </row>
    <row r="115" spans="1:256" ht="15.75" customHeight="1" thickBot="1">
      <c r="A115" s="723" t="s">
        <v>27</v>
      </c>
      <c r="B115" s="724"/>
      <c r="C115" s="724"/>
      <c r="D115" s="724"/>
      <c r="E115" s="724"/>
      <c r="F115" s="725"/>
      <c r="G115" s="60"/>
      <c r="H115" s="723" t="s">
        <v>27</v>
      </c>
      <c r="I115" s="724"/>
      <c r="J115" s="724"/>
      <c r="K115" s="724"/>
      <c r="L115" s="724"/>
      <c r="M115" s="725"/>
      <c r="N115" s="53"/>
      <c r="O115" s="723" t="s">
        <v>27</v>
      </c>
      <c r="P115" s="724"/>
      <c r="Q115" s="724"/>
      <c r="R115" s="724"/>
      <c r="S115" s="724"/>
      <c r="T115" s="725"/>
    </row>
    <row r="116" spans="1:256" ht="15.75" customHeight="1" thickBot="1">
      <c r="A116" s="8" t="s">
        <v>1</v>
      </c>
      <c r="B116" s="5" t="s">
        <v>2</v>
      </c>
      <c r="C116" s="8" t="s">
        <v>3</v>
      </c>
      <c r="D116" s="8" t="s">
        <v>9</v>
      </c>
      <c r="E116" s="8" t="s">
        <v>10</v>
      </c>
      <c r="F116" s="8" t="s">
        <v>11</v>
      </c>
      <c r="G116" s="60"/>
      <c r="H116" s="8" t="s">
        <v>1</v>
      </c>
      <c r="I116" s="5" t="s">
        <v>2</v>
      </c>
      <c r="J116" s="8" t="s">
        <v>3</v>
      </c>
      <c r="K116" s="8" t="s">
        <v>9</v>
      </c>
      <c r="L116" s="8" t="s">
        <v>10</v>
      </c>
      <c r="M116" s="8" t="s">
        <v>11</v>
      </c>
      <c r="N116" s="53"/>
      <c r="O116" s="8" t="s">
        <v>1</v>
      </c>
      <c r="P116" s="5" t="s">
        <v>2</v>
      </c>
      <c r="Q116" s="8" t="s">
        <v>3</v>
      </c>
      <c r="R116" s="8" t="s">
        <v>9</v>
      </c>
      <c r="S116" s="8" t="s">
        <v>10</v>
      </c>
      <c r="T116" s="8" t="s">
        <v>11</v>
      </c>
    </row>
    <row r="117" spans="1:256" ht="15.6" customHeight="1">
      <c r="A117" s="9" t="s">
        <v>28</v>
      </c>
      <c r="B117" s="10" t="s">
        <v>29</v>
      </c>
      <c r="C117" s="9" t="s">
        <v>25</v>
      </c>
      <c r="D117" s="11">
        <v>0.02</v>
      </c>
      <c r="E117" s="13">
        <f>F108</f>
        <v>1934.2296766666664</v>
      </c>
      <c r="F117" s="13">
        <f>(D117*E117)</f>
        <v>38.684593533333327</v>
      </c>
      <c r="G117" s="60"/>
      <c r="H117" s="9" t="s">
        <v>28</v>
      </c>
      <c r="I117" s="10" t="s">
        <v>29</v>
      </c>
      <c r="J117" s="9" t="s">
        <v>25</v>
      </c>
      <c r="K117" s="11">
        <v>0.02</v>
      </c>
      <c r="L117" s="13">
        <f>M108</f>
        <v>19.737037517006801</v>
      </c>
      <c r="M117" s="13">
        <f>(K117*L117)</f>
        <v>0.394740750340136</v>
      </c>
      <c r="N117" s="53"/>
      <c r="O117" s="9" t="s">
        <v>28</v>
      </c>
      <c r="P117" s="10" t="s">
        <v>29</v>
      </c>
      <c r="Q117" s="9" t="s">
        <v>25</v>
      </c>
      <c r="R117" s="11">
        <v>0.02</v>
      </c>
      <c r="S117" s="13">
        <f>T108</f>
        <v>11.605378059999998</v>
      </c>
      <c r="T117" s="13">
        <f>(R117*S117)</f>
        <v>0.23210756119999995</v>
      </c>
    </row>
    <row r="118" spans="1:256" ht="15.75" customHeight="1" thickBot="1">
      <c r="A118" s="23"/>
      <c r="B118" s="24"/>
      <c r="C118" s="23"/>
      <c r="D118" s="23"/>
      <c r="E118" s="25"/>
      <c r="F118" s="25"/>
      <c r="G118" s="60"/>
      <c r="H118" s="23"/>
      <c r="I118" s="24"/>
      <c r="J118" s="23"/>
      <c r="K118" s="23"/>
      <c r="L118" s="25"/>
      <c r="M118" s="25"/>
      <c r="N118" s="53"/>
      <c r="O118" s="23"/>
      <c r="P118" s="24"/>
      <c r="Q118" s="23"/>
      <c r="R118" s="23"/>
      <c r="S118" s="25"/>
      <c r="T118" s="25"/>
    </row>
    <row r="119" spans="1:256" ht="15.75" customHeight="1" thickBot="1">
      <c r="A119" s="726" t="s">
        <v>34</v>
      </c>
      <c r="B119" s="727"/>
      <c r="C119" s="727"/>
      <c r="D119" s="727"/>
      <c r="E119" s="728"/>
      <c r="F119" s="41">
        <f>SUM(F117:F118)</f>
        <v>38.684593533333327</v>
      </c>
      <c r="G119" s="60"/>
      <c r="H119" s="726" t="s">
        <v>34</v>
      </c>
      <c r="I119" s="727"/>
      <c r="J119" s="727"/>
      <c r="K119" s="727"/>
      <c r="L119" s="728"/>
      <c r="M119" s="41">
        <f>SUM(M117:M118)</f>
        <v>0.394740750340136</v>
      </c>
      <c r="N119" s="53"/>
      <c r="O119" s="726" t="s">
        <v>34</v>
      </c>
      <c r="P119" s="727"/>
      <c r="Q119" s="727"/>
      <c r="R119" s="727"/>
      <c r="S119" s="728"/>
      <c r="T119" s="41">
        <f>SUM(T117:T118)</f>
        <v>0.23210756119999995</v>
      </c>
    </row>
    <row r="120" spans="1:256" ht="15.75" customHeight="1" thickBot="1">
      <c r="A120" s="729" t="s">
        <v>35</v>
      </c>
      <c r="B120" s="730"/>
      <c r="C120" s="730"/>
      <c r="D120" s="730"/>
      <c r="E120" s="730"/>
      <c r="F120" s="731"/>
      <c r="G120" s="60"/>
      <c r="H120" s="729" t="s">
        <v>35</v>
      </c>
      <c r="I120" s="730"/>
      <c r="J120" s="730"/>
      <c r="K120" s="730"/>
      <c r="L120" s="730"/>
      <c r="M120" s="731"/>
      <c r="N120" s="53"/>
      <c r="O120" s="729" t="s">
        <v>35</v>
      </c>
      <c r="P120" s="730"/>
      <c r="Q120" s="730"/>
      <c r="R120" s="730"/>
      <c r="S120" s="730"/>
      <c r="T120" s="731"/>
    </row>
    <row r="121" spans="1:256" ht="15.75" customHeight="1" thickBot="1">
      <c r="A121" s="8" t="s">
        <v>1</v>
      </c>
      <c r="B121" s="5" t="s">
        <v>2</v>
      </c>
      <c r="C121" s="8" t="s">
        <v>3</v>
      </c>
      <c r="D121" s="8" t="s">
        <v>9</v>
      </c>
      <c r="E121" s="8" t="s">
        <v>10</v>
      </c>
      <c r="F121" s="8" t="s">
        <v>11</v>
      </c>
      <c r="G121" s="60"/>
      <c r="H121" s="8" t="s">
        <v>1</v>
      </c>
      <c r="I121" s="5" t="s">
        <v>2</v>
      </c>
      <c r="J121" s="8" t="s">
        <v>3</v>
      </c>
      <c r="K121" s="8" t="s">
        <v>9</v>
      </c>
      <c r="L121" s="8" t="s">
        <v>10</v>
      </c>
      <c r="M121" s="8" t="s">
        <v>11</v>
      </c>
      <c r="N121" s="53"/>
      <c r="O121" s="8" t="s">
        <v>1</v>
      </c>
      <c r="P121" s="5" t="s">
        <v>2</v>
      </c>
      <c r="Q121" s="8" t="s">
        <v>3</v>
      </c>
      <c r="R121" s="8" t="s">
        <v>9</v>
      </c>
      <c r="S121" s="8" t="s">
        <v>10</v>
      </c>
      <c r="T121" s="8" t="s">
        <v>11</v>
      </c>
    </row>
    <row r="122" spans="1:256" ht="15.6" customHeight="1">
      <c r="A122" s="14"/>
      <c r="B122" s="15"/>
      <c r="C122" s="14"/>
      <c r="D122" s="14"/>
      <c r="E122" s="12"/>
      <c r="F122" s="13"/>
      <c r="G122" s="60"/>
      <c r="H122" s="14"/>
      <c r="I122" s="15"/>
      <c r="J122" s="14"/>
      <c r="K122" s="14"/>
      <c r="L122" s="12"/>
      <c r="M122" s="13"/>
      <c r="N122" s="53"/>
      <c r="O122" s="14"/>
      <c r="P122" s="15"/>
      <c r="Q122" s="14"/>
      <c r="R122" s="14"/>
      <c r="S122" s="12"/>
      <c r="T122" s="13"/>
    </row>
    <row r="123" spans="1:256" ht="15" customHeight="1">
      <c r="A123" s="42"/>
      <c r="B123" s="43"/>
      <c r="C123" s="42"/>
      <c r="D123" s="42"/>
      <c r="E123" s="44"/>
      <c r="F123" s="20"/>
      <c r="G123" s="60"/>
      <c r="H123" s="42"/>
      <c r="I123" s="43"/>
      <c r="J123" s="42"/>
      <c r="K123" s="42"/>
      <c r="L123" s="44"/>
      <c r="M123" s="20"/>
      <c r="N123" s="53"/>
      <c r="O123" s="42"/>
      <c r="P123" s="43"/>
      <c r="Q123" s="42"/>
      <c r="R123" s="42"/>
      <c r="S123" s="44"/>
      <c r="T123" s="20"/>
    </row>
    <row r="124" spans="1:256" ht="15" customHeight="1" thickBot="1">
      <c r="A124" s="23"/>
      <c r="B124" s="24"/>
      <c r="C124" s="23"/>
      <c r="D124" s="23"/>
      <c r="E124" s="34"/>
      <c r="F124" s="25"/>
      <c r="G124" s="60"/>
      <c r="H124" s="23"/>
      <c r="I124" s="24"/>
      <c r="J124" s="23"/>
      <c r="K124" s="23"/>
      <c r="L124" s="34"/>
      <c r="M124" s="25"/>
      <c r="N124" s="53"/>
      <c r="O124" s="23"/>
      <c r="P124" s="24"/>
      <c r="Q124" s="23"/>
      <c r="R124" s="23"/>
      <c r="S124" s="34"/>
      <c r="T124" s="25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8"/>
      <c r="AM124" s="228"/>
      <c r="AN124" s="228"/>
      <c r="AO124" s="228"/>
      <c r="AP124" s="228"/>
      <c r="AQ124" s="228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D124" s="228"/>
      <c r="BE124" s="228"/>
      <c r="BF124" s="228"/>
      <c r="BG124" s="228"/>
      <c r="BH124" s="228"/>
      <c r="BI124" s="228"/>
      <c r="BJ124" s="228"/>
      <c r="BK124" s="228"/>
      <c r="BL124" s="228"/>
      <c r="BM124" s="228"/>
      <c r="BN124" s="228"/>
      <c r="BO124" s="228"/>
      <c r="BP124" s="228"/>
      <c r="BQ124" s="228"/>
      <c r="BR124" s="228"/>
      <c r="BS124" s="228"/>
      <c r="BT124" s="228"/>
      <c r="BU124" s="228"/>
      <c r="BV124" s="228"/>
      <c r="BW124" s="228"/>
      <c r="BX124" s="228"/>
      <c r="BY124" s="228"/>
      <c r="BZ124" s="228"/>
      <c r="CA124" s="228"/>
      <c r="CB124" s="228"/>
      <c r="CC124" s="228"/>
      <c r="CD124" s="228"/>
      <c r="CE124" s="228"/>
      <c r="CF124" s="228"/>
      <c r="CG124" s="228"/>
      <c r="CH124" s="228"/>
      <c r="CI124" s="228"/>
      <c r="CJ124" s="228"/>
      <c r="CK124" s="228"/>
      <c r="CL124" s="228"/>
      <c r="CM124" s="228"/>
      <c r="CN124" s="228"/>
      <c r="CO124" s="228"/>
      <c r="CP124" s="228"/>
      <c r="CQ124" s="228"/>
      <c r="CR124" s="228"/>
      <c r="CS124" s="228"/>
      <c r="CT124" s="228"/>
      <c r="CU124" s="228"/>
      <c r="CV124" s="228"/>
      <c r="CW124" s="228"/>
      <c r="CX124" s="228"/>
      <c r="CY124" s="228"/>
      <c r="CZ124" s="228"/>
      <c r="DA124" s="228"/>
      <c r="DB124" s="228"/>
      <c r="DC124" s="228"/>
      <c r="DD124" s="228"/>
      <c r="DE124" s="228"/>
      <c r="DF124" s="228"/>
      <c r="DG124" s="228"/>
      <c r="DH124" s="228"/>
      <c r="DI124" s="228"/>
      <c r="DJ124" s="228"/>
      <c r="DK124" s="228"/>
      <c r="DL124" s="228"/>
      <c r="DM124" s="228"/>
      <c r="DN124" s="228"/>
      <c r="DO124" s="228"/>
      <c r="DP124" s="228"/>
      <c r="DQ124" s="228"/>
      <c r="DR124" s="228"/>
      <c r="DS124" s="228"/>
      <c r="DT124" s="228"/>
      <c r="DU124" s="228"/>
      <c r="DV124" s="228"/>
      <c r="DW124" s="228"/>
      <c r="DX124" s="228"/>
      <c r="DY124" s="228"/>
      <c r="DZ124" s="228"/>
      <c r="EA124" s="228"/>
      <c r="EB124" s="228"/>
      <c r="EC124" s="228"/>
      <c r="ED124" s="228"/>
      <c r="EE124" s="228"/>
      <c r="EF124" s="228"/>
      <c r="EG124" s="228"/>
      <c r="EH124" s="228"/>
      <c r="EI124" s="228"/>
      <c r="EJ124" s="228"/>
      <c r="EK124" s="228"/>
      <c r="EL124" s="228"/>
      <c r="EM124" s="228"/>
      <c r="EN124" s="228"/>
      <c r="EO124" s="228"/>
      <c r="EP124" s="228"/>
      <c r="EQ124" s="228"/>
      <c r="ER124" s="228"/>
      <c r="ES124" s="228"/>
      <c r="ET124" s="228"/>
      <c r="EU124" s="228"/>
      <c r="EV124" s="228"/>
      <c r="EW124" s="228"/>
      <c r="EX124" s="228"/>
      <c r="EY124" s="228"/>
      <c r="EZ124" s="228"/>
      <c r="FA124" s="228"/>
      <c r="FB124" s="228"/>
      <c r="FC124" s="228"/>
      <c r="FD124" s="228"/>
      <c r="FE124" s="228"/>
      <c r="FF124" s="228"/>
      <c r="FG124" s="228"/>
      <c r="FH124" s="228"/>
      <c r="FI124" s="228"/>
      <c r="FJ124" s="228"/>
      <c r="FK124" s="228"/>
      <c r="FL124" s="228"/>
      <c r="FM124" s="228"/>
      <c r="FN124" s="228"/>
      <c r="FO124" s="228"/>
      <c r="FP124" s="228"/>
      <c r="FQ124" s="228"/>
      <c r="FR124" s="228"/>
      <c r="FS124" s="228"/>
      <c r="FT124" s="228"/>
      <c r="FU124" s="228"/>
      <c r="FV124" s="228"/>
      <c r="FW124" s="228"/>
      <c r="FX124" s="228"/>
      <c r="FY124" s="228"/>
      <c r="FZ124" s="228"/>
      <c r="GA124" s="228"/>
      <c r="GB124" s="228"/>
      <c r="GC124" s="228"/>
      <c r="GD124" s="228"/>
      <c r="GE124" s="228"/>
      <c r="GF124" s="228"/>
      <c r="GG124" s="228"/>
      <c r="GH124" s="228"/>
      <c r="GI124" s="228"/>
      <c r="GJ124" s="228"/>
      <c r="GK124" s="228"/>
      <c r="GL124" s="228"/>
      <c r="GM124" s="228"/>
      <c r="GN124" s="228"/>
      <c r="GO124" s="228"/>
      <c r="GP124" s="228"/>
      <c r="GQ124" s="228"/>
      <c r="GR124" s="228"/>
      <c r="GS124" s="228"/>
      <c r="GT124" s="228"/>
      <c r="GU124" s="228"/>
      <c r="GV124" s="228"/>
      <c r="GW124" s="228"/>
      <c r="GX124" s="228"/>
      <c r="GY124" s="228"/>
      <c r="GZ124" s="228"/>
      <c r="HA124" s="228"/>
      <c r="HB124" s="228"/>
      <c r="HC124" s="228"/>
      <c r="HD124" s="228"/>
      <c r="HE124" s="228"/>
      <c r="HF124" s="228"/>
      <c r="HG124" s="228"/>
      <c r="HH124" s="228"/>
      <c r="HI124" s="228"/>
      <c r="HJ124" s="228"/>
      <c r="HK124" s="228"/>
      <c r="HL124" s="228"/>
      <c r="HM124" s="228"/>
      <c r="HN124" s="228"/>
      <c r="HO124" s="228"/>
      <c r="HP124" s="228"/>
      <c r="HQ124" s="228"/>
      <c r="HR124" s="228"/>
      <c r="HS124" s="228"/>
      <c r="HT124" s="228"/>
      <c r="HU124" s="228"/>
      <c r="HV124" s="228"/>
      <c r="HW124" s="228"/>
      <c r="HX124" s="228"/>
      <c r="HY124" s="228"/>
      <c r="HZ124" s="228"/>
      <c r="IA124" s="228"/>
      <c r="IB124" s="228"/>
      <c r="IC124" s="228"/>
      <c r="ID124" s="228"/>
      <c r="IE124" s="228"/>
      <c r="IF124" s="228"/>
      <c r="IG124" s="228"/>
      <c r="IH124" s="228"/>
      <c r="II124" s="228"/>
      <c r="IJ124" s="228"/>
      <c r="IK124" s="228"/>
      <c r="IL124" s="228"/>
      <c r="IM124" s="228"/>
      <c r="IN124" s="228"/>
      <c r="IO124" s="228"/>
      <c r="IP124" s="228"/>
      <c r="IQ124" s="228"/>
      <c r="IR124" s="228"/>
      <c r="IS124" s="228"/>
      <c r="IT124" s="228"/>
      <c r="IU124" s="228"/>
      <c r="IV124" s="228"/>
    </row>
    <row r="125" spans="1:256" ht="15.75" customHeight="1" thickBot="1">
      <c r="A125" s="732" t="s">
        <v>43</v>
      </c>
      <c r="B125" s="746"/>
      <c r="C125" s="746"/>
      <c r="D125" s="746"/>
      <c r="E125" s="747"/>
      <c r="F125" s="49">
        <f>SUM(F122:F124)</f>
        <v>0</v>
      </c>
      <c r="G125" s="60"/>
      <c r="H125" s="732" t="s">
        <v>43</v>
      </c>
      <c r="I125" s="746"/>
      <c r="J125" s="746"/>
      <c r="K125" s="746"/>
      <c r="L125" s="747"/>
      <c r="M125" s="49">
        <f>SUM(M122:M124)</f>
        <v>0</v>
      </c>
      <c r="N125" s="53"/>
      <c r="O125" s="732" t="s">
        <v>43</v>
      </c>
      <c r="P125" s="746"/>
      <c r="Q125" s="746"/>
      <c r="R125" s="746"/>
      <c r="S125" s="747"/>
      <c r="T125" s="49">
        <f>SUM(T122:T124)</f>
        <v>0</v>
      </c>
    </row>
    <row r="126" spans="1:256" ht="15.75" customHeight="1" thickBot="1">
      <c r="A126" s="50"/>
      <c r="B126" s="51"/>
      <c r="C126" s="52"/>
      <c r="D126" s="52"/>
      <c r="E126" s="52"/>
      <c r="F126" s="52"/>
      <c r="G126" s="60"/>
      <c r="H126" s="50"/>
      <c r="I126" s="51"/>
      <c r="J126" s="52"/>
      <c r="K126" s="52"/>
      <c r="L126" s="52"/>
      <c r="M126" s="52"/>
      <c r="N126" s="53"/>
      <c r="O126" s="50"/>
      <c r="P126" s="51"/>
      <c r="Q126" s="52"/>
      <c r="R126" s="52"/>
      <c r="S126" s="52"/>
      <c r="T126" s="52"/>
    </row>
    <row r="127" spans="1:256" ht="15.75" customHeight="1" thickBot="1">
      <c r="A127" s="687" t="s">
        <v>44</v>
      </c>
      <c r="B127" s="748"/>
      <c r="C127" s="748"/>
      <c r="D127" s="748"/>
      <c r="E127" s="749"/>
      <c r="F127" s="54">
        <f>SUM(F125,F105,F110,F114,F119)</f>
        <v>3138.4811604999995</v>
      </c>
      <c r="G127" s="53"/>
      <c r="H127" s="687" t="s">
        <v>44</v>
      </c>
      <c r="I127" s="748"/>
      <c r="J127" s="748"/>
      <c r="K127" s="748"/>
      <c r="L127" s="749"/>
      <c r="M127" s="54">
        <f>SUM(M125,M105,M110,M114,M119)</f>
        <v>65.242675107142844</v>
      </c>
      <c r="N127" s="53"/>
      <c r="O127" s="687" t="s">
        <v>44</v>
      </c>
      <c r="P127" s="748"/>
      <c r="Q127" s="748"/>
      <c r="R127" s="748"/>
      <c r="S127" s="749"/>
      <c r="T127" s="54">
        <f>SUM(T125,T105,T110,T114,T119)</f>
        <v>36.386120463000005</v>
      </c>
    </row>
    <row r="128" spans="1:256" ht="15.75" customHeight="1" thickBot="1">
      <c r="A128" s="687" t="s">
        <v>45</v>
      </c>
      <c r="B128" s="688"/>
      <c r="C128" s="688"/>
      <c r="D128" s="688"/>
      <c r="E128" s="55"/>
      <c r="F128" s="54"/>
      <c r="G128" s="60"/>
      <c r="H128" s="687" t="s">
        <v>45</v>
      </c>
      <c r="I128" s="688"/>
      <c r="J128" s="688"/>
      <c r="K128" s="688"/>
      <c r="L128" s="55"/>
      <c r="M128" s="54"/>
      <c r="N128" s="53"/>
      <c r="O128" s="687" t="s">
        <v>45</v>
      </c>
      <c r="P128" s="688"/>
      <c r="Q128" s="688"/>
      <c r="R128" s="688"/>
      <c r="S128" s="55"/>
      <c r="T128" s="54"/>
    </row>
    <row r="129" spans="1:20" ht="15.75" customHeight="1" thickBot="1">
      <c r="A129" s="687" t="s">
        <v>46</v>
      </c>
      <c r="B129" s="688"/>
      <c r="C129" s="688"/>
      <c r="D129" s="688"/>
      <c r="E129" s="689"/>
      <c r="F129" s="54"/>
      <c r="G129" s="60"/>
      <c r="H129" s="687" t="s">
        <v>46</v>
      </c>
      <c r="I129" s="688"/>
      <c r="J129" s="688"/>
      <c r="K129" s="688"/>
      <c r="L129" s="689"/>
      <c r="M129" s="54"/>
      <c r="N129" s="53"/>
      <c r="O129" s="687" t="s">
        <v>46</v>
      </c>
      <c r="P129" s="688"/>
      <c r="Q129" s="688"/>
      <c r="R129" s="688"/>
      <c r="S129" s="689"/>
      <c r="T129" s="54"/>
    </row>
    <row r="130" spans="1:20" ht="15.75" customHeight="1" thickBot="1">
      <c r="A130" s="687" t="s">
        <v>47</v>
      </c>
      <c r="B130" s="688"/>
      <c r="C130" s="688"/>
      <c r="D130" s="688"/>
      <c r="E130" s="56"/>
      <c r="F130" s="54"/>
      <c r="G130" s="60"/>
      <c r="H130" s="687" t="s">
        <v>47</v>
      </c>
      <c r="I130" s="688"/>
      <c r="J130" s="688"/>
      <c r="K130" s="688"/>
      <c r="L130" s="56"/>
      <c r="M130" s="54"/>
      <c r="N130" s="53"/>
      <c r="O130" s="687" t="s">
        <v>47</v>
      </c>
      <c r="P130" s="688"/>
      <c r="Q130" s="688"/>
      <c r="R130" s="688"/>
      <c r="S130" s="56"/>
      <c r="T130" s="54"/>
    </row>
    <row r="131" spans="1:20" ht="15.75" customHeight="1" thickBot="1">
      <c r="A131" s="687" t="s">
        <v>46</v>
      </c>
      <c r="B131" s="688"/>
      <c r="C131" s="688"/>
      <c r="D131" s="688"/>
      <c r="E131" s="689"/>
      <c r="F131" s="54"/>
      <c r="G131" s="60"/>
      <c r="H131" s="687" t="s">
        <v>46</v>
      </c>
      <c r="I131" s="688"/>
      <c r="J131" s="688"/>
      <c r="K131" s="688"/>
      <c r="L131" s="689"/>
      <c r="M131" s="54"/>
      <c r="N131" s="53"/>
      <c r="O131" s="687" t="s">
        <v>46</v>
      </c>
      <c r="P131" s="688"/>
      <c r="Q131" s="688"/>
      <c r="R131" s="688"/>
      <c r="S131" s="689"/>
      <c r="T131" s="54"/>
    </row>
    <row r="132" spans="1:20" ht="15.75" customHeight="1" thickBot="1">
      <c r="A132" s="687" t="s">
        <v>48</v>
      </c>
      <c r="B132" s="688"/>
      <c r="C132" s="688"/>
      <c r="D132" s="688"/>
      <c r="E132" s="55"/>
      <c r="F132" s="54"/>
      <c r="G132" s="60"/>
      <c r="H132" s="687" t="s">
        <v>48</v>
      </c>
      <c r="I132" s="688"/>
      <c r="J132" s="688"/>
      <c r="K132" s="688"/>
      <c r="L132" s="55"/>
      <c r="M132" s="54"/>
      <c r="N132" s="53"/>
      <c r="O132" s="687" t="s">
        <v>48</v>
      </c>
      <c r="P132" s="688"/>
      <c r="Q132" s="688"/>
      <c r="R132" s="688"/>
      <c r="S132" s="55"/>
      <c r="T132" s="54"/>
    </row>
    <row r="133" spans="1:20" ht="15.75" customHeight="1" thickBot="1">
      <c r="A133" s="687" t="s">
        <v>46</v>
      </c>
      <c r="B133" s="688"/>
      <c r="C133" s="688"/>
      <c r="D133" s="688"/>
      <c r="E133" s="689"/>
      <c r="F133" s="54"/>
      <c r="G133" s="60"/>
      <c r="H133" s="687" t="s">
        <v>46</v>
      </c>
      <c r="I133" s="688"/>
      <c r="J133" s="688"/>
      <c r="K133" s="688"/>
      <c r="L133" s="689"/>
      <c r="M133" s="54"/>
      <c r="N133" s="53"/>
      <c r="O133" s="687" t="s">
        <v>46</v>
      </c>
      <c r="P133" s="688"/>
      <c r="Q133" s="688"/>
      <c r="R133" s="688"/>
      <c r="S133" s="689"/>
      <c r="T133" s="54"/>
    </row>
    <row r="134" spans="1:20" ht="15.75" customHeight="1" thickBot="1">
      <c r="A134" s="687" t="s">
        <v>49</v>
      </c>
      <c r="B134" s="688"/>
      <c r="C134" s="688"/>
      <c r="D134" s="688"/>
      <c r="E134" s="56"/>
      <c r="F134" s="54"/>
      <c r="G134" s="60"/>
      <c r="H134" s="687" t="s">
        <v>49</v>
      </c>
      <c r="I134" s="688"/>
      <c r="J134" s="688"/>
      <c r="K134" s="688"/>
      <c r="L134" s="56"/>
      <c r="M134" s="54"/>
      <c r="N134" s="53"/>
      <c r="O134" s="687" t="s">
        <v>49</v>
      </c>
      <c r="P134" s="688"/>
      <c r="Q134" s="688"/>
      <c r="R134" s="688"/>
      <c r="S134" s="56"/>
      <c r="T134" s="54"/>
    </row>
    <row r="135" spans="1:20" ht="15.75" customHeight="1" thickBot="1">
      <c r="A135" s="690" t="s">
        <v>50</v>
      </c>
      <c r="B135" s="691"/>
      <c r="C135" s="691"/>
      <c r="D135" s="691"/>
      <c r="E135" s="692"/>
      <c r="F135" s="57"/>
      <c r="G135" s="60"/>
      <c r="H135" s="690" t="s">
        <v>50</v>
      </c>
      <c r="I135" s="691"/>
      <c r="J135" s="691"/>
      <c r="K135" s="691"/>
      <c r="L135" s="692"/>
      <c r="M135" s="57"/>
      <c r="N135" s="53"/>
      <c r="O135" s="690" t="s">
        <v>50</v>
      </c>
      <c r="P135" s="691"/>
      <c r="Q135" s="691"/>
      <c r="R135" s="691"/>
      <c r="S135" s="692"/>
      <c r="T135" s="57"/>
    </row>
    <row r="136" spans="1:20" ht="16.5" customHeight="1" thickBot="1">
      <c r="A136" s="693" t="s">
        <v>1403</v>
      </c>
      <c r="B136" s="694"/>
      <c r="C136" s="694"/>
      <c r="D136" s="694"/>
      <c r="E136" s="694"/>
      <c r="F136" s="695"/>
      <c r="G136" s="60"/>
      <c r="H136" s="693" t="s">
        <v>1404</v>
      </c>
      <c r="I136" s="694"/>
      <c r="J136" s="694"/>
      <c r="K136" s="694"/>
      <c r="L136" s="694"/>
      <c r="M136" s="695"/>
      <c r="N136" s="53"/>
      <c r="O136" s="693" t="s">
        <v>1405</v>
      </c>
      <c r="P136" s="694"/>
      <c r="Q136" s="694"/>
      <c r="R136" s="694"/>
      <c r="S136" s="694"/>
      <c r="T136" s="695"/>
    </row>
    <row r="137" spans="1:20" ht="19.5" customHeight="1" thickBot="1">
      <c r="F137" s="458"/>
      <c r="G137" s="457"/>
      <c r="H137" s="61"/>
      <c r="I137" s="61"/>
      <c r="J137" s="61"/>
      <c r="K137" s="61"/>
      <c r="L137" s="61"/>
      <c r="M137" s="61"/>
      <c r="N137" s="53"/>
      <c r="O137" s="61"/>
      <c r="P137" s="61"/>
      <c r="Q137" s="61"/>
      <c r="R137" s="61"/>
      <c r="S137" s="61"/>
      <c r="T137" s="61"/>
    </row>
    <row r="138" spans="1:20" ht="26.4" thickBot="1">
      <c r="A138" s="696" t="s">
        <v>0</v>
      </c>
      <c r="B138" s="697"/>
      <c r="C138" s="697"/>
      <c r="D138" s="697"/>
      <c r="E138" s="697"/>
      <c r="F138" s="698"/>
    </row>
    <row r="139" spans="1:20" ht="18.600000000000001" thickBot="1">
      <c r="A139" s="3" t="s">
        <v>1</v>
      </c>
      <c r="B139" s="693" t="s">
        <v>2</v>
      </c>
      <c r="C139" s="694"/>
      <c r="D139" s="694"/>
      <c r="E139" s="695"/>
      <c r="F139" s="3" t="s">
        <v>3</v>
      </c>
    </row>
    <row r="140" spans="1:20" ht="96" customHeight="1" thickBot="1">
      <c r="A140" s="5" t="s">
        <v>1049</v>
      </c>
      <c r="B140" s="743" t="s">
        <v>1109</v>
      </c>
      <c r="C140" s="744"/>
      <c r="D140" s="744"/>
      <c r="E140" s="745"/>
      <c r="F140" s="5" t="s">
        <v>64</v>
      </c>
    </row>
    <row r="141" spans="1:20" ht="15" customHeight="1" thickBot="1">
      <c r="A141" s="705" t="s">
        <v>8</v>
      </c>
      <c r="B141" s="706"/>
      <c r="C141" s="706"/>
      <c r="D141" s="706"/>
      <c r="E141" s="706"/>
      <c r="F141" s="707"/>
    </row>
    <row r="142" spans="1:20" ht="15" customHeight="1" thickBot="1">
      <c r="A142" s="8" t="s">
        <v>1</v>
      </c>
      <c r="B142" s="5" t="s">
        <v>2</v>
      </c>
      <c r="C142" s="8" t="s">
        <v>3</v>
      </c>
      <c r="D142" s="8" t="s">
        <v>9</v>
      </c>
      <c r="E142" s="8" t="s">
        <v>10</v>
      </c>
      <c r="F142" s="8" t="s">
        <v>11</v>
      </c>
    </row>
    <row r="143" spans="1:20" ht="15" customHeight="1">
      <c r="A143" s="463" t="s">
        <v>1007</v>
      </c>
      <c r="B143" s="459" t="s">
        <v>1001</v>
      </c>
      <c r="C143" s="9" t="s">
        <v>64</v>
      </c>
      <c r="D143" s="11">
        <v>1</v>
      </c>
      <c r="E143" s="12">
        <f>MATERIALES!E78</f>
        <v>3017.24</v>
      </c>
      <c r="F143" s="13">
        <f t="shared" ref="F143:F148" si="0">D143*E143</f>
        <v>3017.24</v>
      </c>
    </row>
    <row r="144" spans="1:20" ht="15" customHeight="1">
      <c r="A144" s="466" t="s">
        <v>495</v>
      </c>
      <c r="B144" s="460" t="s">
        <v>1002</v>
      </c>
      <c r="C144" s="16" t="s">
        <v>64</v>
      </c>
      <c r="D144" s="18">
        <v>1</v>
      </c>
      <c r="E144" s="20">
        <f>MATERIALES!E79</f>
        <v>20.25</v>
      </c>
      <c r="F144" s="20">
        <f t="shared" si="0"/>
        <v>20.25</v>
      </c>
    </row>
    <row r="145" spans="1:6" ht="15" customHeight="1">
      <c r="A145" s="466" t="s">
        <v>1008</v>
      </c>
      <c r="B145" s="460" t="s">
        <v>1003</v>
      </c>
      <c r="C145" s="16" t="s">
        <v>64</v>
      </c>
      <c r="D145" s="18">
        <v>1</v>
      </c>
      <c r="E145" s="20">
        <f>MATERIALES!E82</f>
        <v>343.96</v>
      </c>
      <c r="F145" s="20">
        <f t="shared" si="0"/>
        <v>343.96</v>
      </c>
    </row>
    <row r="146" spans="1:6" ht="15" customHeight="1">
      <c r="A146" s="462" t="s">
        <v>422</v>
      </c>
      <c r="B146" s="461" t="s">
        <v>1009</v>
      </c>
      <c r="C146" s="21" t="s">
        <v>64</v>
      </c>
      <c r="D146" s="21">
        <v>1</v>
      </c>
      <c r="E146" s="20">
        <f>MATERIALES!E51</f>
        <v>60.34</v>
      </c>
      <c r="F146" s="20">
        <f t="shared" si="0"/>
        <v>60.34</v>
      </c>
    </row>
    <row r="147" spans="1:6" ht="15" customHeight="1">
      <c r="A147" s="462" t="s">
        <v>1010</v>
      </c>
      <c r="B147" s="461" t="s">
        <v>1004</v>
      </c>
      <c r="C147" s="462" t="s">
        <v>64</v>
      </c>
      <c r="D147" s="21">
        <v>1</v>
      </c>
      <c r="E147" s="20">
        <f>MATERIALES!E50</f>
        <v>99.14</v>
      </c>
      <c r="F147" s="20">
        <f t="shared" si="0"/>
        <v>99.14</v>
      </c>
    </row>
    <row r="148" spans="1:6" ht="15" customHeight="1">
      <c r="A148" s="462" t="s">
        <v>402</v>
      </c>
      <c r="B148" s="461" t="s">
        <v>1005</v>
      </c>
      <c r="C148" s="462" t="s">
        <v>1006</v>
      </c>
      <c r="D148" s="21">
        <v>1</v>
      </c>
      <c r="E148" s="20">
        <f>MATERIALES!E44</f>
        <v>34.4</v>
      </c>
      <c r="F148" s="20">
        <f t="shared" si="0"/>
        <v>34.4</v>
      </c>
    </row>
    <row r="149" spans="1:6" ht="15" customHeight="1" thickBot="1">
      <c r="A149" s="23"/>
      <c r="B149" s="24"/>
      <c r="C149" s="23"/>
      <c r="D149" s="23"/>
      <c r="E149" s="25"/>
      <c r="F149" s="25"/>
    </row>
    <row r="150" spans="1:6" ht="15" customHeight="1" thickBot="1">
      <c r="A150" s="708" t="s">
        <v>18</v>
      </c>
      <c r="B150" s="709"/>
      <c r="C150" s="709"/>
      <c r="D150" s="709"/>
      <c r="E150" s="710"/>
      <c r="F150" s="26">
        <f>SUM(F143:F149)</f>
        <v>3575.33</v>
      </c>
    </row>
    <row r="151" spans="1:6" ht="15" customHeight="1" thickBot="1">
      <c r="A151" s="711" t="s">
        <v>19</v>
      </c>
      <c r="B151" s="712"/>
      <c r="C151" s="712"/>
      <c r="D151" s="712"/>
      <c r="E151" s="712"/>
      <c r="F151" s="713"/>
    </row>
    <row r="152" spans="1:6" ht="15" customHeight="1" thickBot="1">
      <c r="A152" s="8" t="s">
        <v>1</v>
      </c>
      <c r="B152" s="5" t="s">
        <v>2</v>
      </c>
      <c r="C152" s="8" t="s">
        <v>3</v>
      </c>
      <c r="D152" s="8" t="s">
        <v>9</v>
      </c>
      <c r="E152" s="8" t="s">
        <v>10</v>
      </c>
      <c r="F152" s="8" t="s">
        <v>11</v>
      </c>
    </row>
    <row r="153" spans="1:6" ht="15" customHeight="1">
      <c r="A153" s="463" t="s">
        <v>1013</v>
      </c>
      <c r="B153" s="459" t="s">
        <v>1015</v>
      </c>
      <c r="C153" s="9" t="s">
        <v>21</v>
      </c>
      <c r="D153" s="27">
        <f>1/4</f>
        <v>0.25</v>
      </c>
      <c r="E153" s="12">
        <f>'ANÁLISIS CUADRILLAS'!F56</f>
        <v>1160.5378059999998</v>
      </c>
      <c r="F153" s="13">
        <f>D153*E153</f>
        <v>290.13445149999995</v>
      </c>
    </row>
    <row r="154" spans="1:6" ht="15" customHeight="1" thickBot="1">
      <c r="A154" s="23"/>
      <c r="B154" s="24"/>
      <c r="C154" s="23"/>
      <c r="D154" s="23"/>
      <c r="E154" s="25"/>
      <c r="F154" s="25"/>
    </row>
    <row r="155" spans="1:6" ht="15" customHeight="1" thickBot="1">
      <c r="A155" s="714" t="s">
        <v>18</v>
      </c>
      <c r="B155" s="715"/>
      <c r="C155" s="715"/>
      <c r="D155" s="715"/>
      <c r="E155" s="716"/>
      <c r="F155" s="35">
        <f>SUM(F153:F154)</f>
        <v>290.13445149999995</v>
      </c>
    </row>
    <row r="156" spans="1:6" ht="15" customHeight="1" thickBot="1">
      <c r="A156" s="717" t="s">
        <v>23</v>
      </c>
      <c r="B156" s="718"/>
      <c r="C156" s="718"/>
      <c r="D156" s="718"/>
      <c r="E156" s="718"/>
      <c r="F156" s="719"/>
    </row>
    <row r="157" spans="1:6" ht="15" customHeight="1" thickBot="1">
      <c r="A157" s="8" t="s">
        <v>1</v>
      </c>
      <c r="B157" s="5" t="s">
        <v>2</v>
      </c>
      <c r="C157" s="8" t="s">
        <v>3</v>
      </c>
      <c r="D157" s="8" t="s">
        <v>9</v>
      </c>
      <c r="E157" s="8" t="s">
        <v>10</v>
      </c>
      <c r="F157" s="8" t="s">
        <v>11</v>
      </c>
    </row>
    <row r="158" spans="1:6" ht="15" customHeight="1" thickBot="1">
      <c r="A158" s="36" t="s">
        <v>24</v>
      </c>
      <c r="B158" s="37" t="s">
        <v>23</v>
      </c>
      <c r="C158" s="36" t="s">
        <v>25</v>
      </c>
      <c r="D158" s="38">
        <v>0.03</v>
      </c>
      <c r="E158" s="39">
        <f>F153</f>
        <v>290.13445149999995</v>
      </c>
      <c r="F158" s="39">
        <f>(D158*E158)</f>
        <v>8.7040335449999979</v>
      </c>
    </row>
    <row r="159" spans="1:6" ht="15" customHeight="1" thickBot="1">
      <c r="A159" s="720" t="s">
        <v>26</v>
      </c>
      <c r="B159" s="721"/>
      <c r="C159" s="721"/>
      <c r="D159" s="721"/>
      <c r="E159" s="722"/>
      <c r="F159" s="40">
        <f>SUM(F158)</f>
        <v>8.7040335449999979</v>
      </c>
    </row>
    <row r="160" spans="1:6" ht="15" customHeight="1" thickBot="1">
      <c r="A160" s="723" t="s">
        <v>27</v>
      </c>
      <c r="B160" s="724"/>
      <c r="C160" s="724"/>
      <c r="D160" s="724"/>
      <c r="E160" s="724"/>
      <c r="F160" s="725"/>
    </row>
    <row r="161" spans="1:6" ht="15" customHeight="1" thickBot="1">
      <c r="A161" s="8" t="s">
        <v>1</v>
      </c>
      <c r="B161" s="5" t="s">
        <v>2</v>
      </c>
      <c r="C161" s="8" t="s">
        <v>3</v>
      </c>
      <c r="D161" s="8" t="s">
        <v>9</v>
      </c>
      <c r="E161" s="8" t="s">
        <v>10</v>
      </c>
      <c r="F161" s="8" t="s">
        <v>11</v>
      </c>
    </row>
    <row r="162" spans="1:6" ht="15" customHeight="1">
      <c r="A162" s="9" t="s">
        <v>28</v>
      </c>
      <c r="B162" s="10" t="s">
        <v>29</v>
      </c>
      <c r="C162" s="9" t="s">
        <v>25</v>
      </c>
      <c r="D162" s="11">
        <v>0.02</v>
      </c>
      <c r="E162" s="13">
        <f>F153</f>
        <v>290.13445149999995</v>
      </c>
      <c r="F162" s="13">
        <f>(D162*E162)</f>
        <v>5.8026890299999989</v>
      </c>
    </row>
    <row r="163" spans="1:6" ht="15" customHeight="1" thickBot="1">
      <c r="A163" s="23"/>
      <c r="B163" s="24"/>
      <c r="C163" s="23"/>
      <c r="D163" s="23"/>
      <c r="E163" s="25"/>
      <c r="F163" s="25"/>
    </row>
    <row r="164" spans="1:6" ht="15" customHeight="1" thickBot="1">
      <c r="A164" s="726" t="s">
        <v>34</v>
      </c>
      <c r="B164" s="727"/>
      <c r="C164" s="727"/>
      <c r="D164" s="727"/>
      <c r="E164" s="728"/>
      <c r="F164" s="41">
        <f>SUM(F162:F163)</f>
        <v>5.8026890299999989</v>
      </c>
    </row>
    <row r="165" spans="1:6" ht="15" customHeight="1" thickBot="1">
      <c r="A165" s="729" t="s">
        <v>35</v>
      </c>
      <c r="B165" s="730"/>
      <c r="C165" s="730"/>
      <c r="D165" s="730"/>
      <c r="E165" s="730"/>
      <c r="F165" s="731"/>
    </row>
    <row r="166" spans="1:6" ht="15" customHeight="1" thickBot="1">
      <c r="A166" s="8" t="s">
        <v>1</v>
      </c>
      <c r="B166" s="5" t="s">
        <v>2</v>
      </c>
      <c r="C166" s="8" t="s">
        <v>3</v>
      </c>
      <c r="D166" s="8" t="s">
        <v>9</v>
      </c>
      <c r="E166" s="8" t="s">
        <v>10</v>
      </c>
      <c r="F166" s="8" t="s">
        <v>11</v>
      </c>
    </row>
    <row r="167" spans="1:6" ht="15" customHeight="1">
      <c r="A167" s="14"/>
      <c r="B167" s="15"/>
      <c r="C167" s="14"/>
      <c r="D167" s="14"/>
      <c r="E167" s="12"/>
      <c r="F167" s="13"/>
    </row>
    <row r="168" spans="1:6" ht="15" customHeight="1">
      <c r="A168" s="42"/>
      <c r="B168" s="43"/>
      <c r="C168" s="42"/>
      <c r="D168" s="42"/>
      <c r="E168" s="44"/>
      <c r="F168" s="20"/>
    </row>
    <row r="169" spans="1:6" ht="15" customHeight="1" thickBot="1">
      <c r="A169" s="23"/>
      <c r="B169" s="24"/>
      <c r="C169" s="23"/>
      <c r="D169" s="23"/>
      <c r="E169" s="34"/>
      <c r="F169" s="25"/>
    </row>
    <row r="170" spans="1:6" ht="15" customHeight="1" thickBot="1">
      <c r="A170" s="732" t="s">
        <v>43</v>
      </c>
      <c r="B170" s="746"/>
      <c r="C170" s="746"/>
      <c r="D170" s="746"/>
      <c r="E170" s="747"/>
      <c r="F170" s="49">
        <f>SUM(F167:F169)</f>
        <v>0</v>
      </c>
    </row>
    <row r="171" spans="1:6" ht="15" customHeight="1" thickBot="1">
      <c r="A171" s="50"/>
      <c r="B171" s="51"/>
      <c r="C171" s="52"/>
      <c r="D171" s="52"/>
      <c r="E171" s="52"/>
      <c r="F171" s="52"/>
    </row>
    <row r="172" spans="1:6" ht="15" customHeight="1" thickBot="1">
      <c r="A172" s="687" t="s">
        <v>44</v>
      </c>
      <c r="B172" s="748"/>
      <c r="C172" s="748"/>
      <c r="D172" s="748"/>
      <c r="E172" s="749"/>
      <c r="F172" s="54">
        <f>SUM(F170,F150,F155,F159,F164)</f>
        <v>3879.9711740749999</v>
      </c>
    </row>
    <row r="173" spans="1:6" ht="15" customHeight="1" thickBot="1">
      <c r="A173" s="687" t="s">
        <v>45</v>
      </c>
      <c r="B173" s="688"/>
      <c r="C173" s="688"/>
      <c r="D173" s="688"/>
      <c r="E173" s="55"/>
      <c r="F173" s="54"/>
    </row>
    <row r="174" spans="1:6" ht="15" customHeight="1" thickBot="1">
      <c r="A174" s="687" t="s">
        <v>46</v>
      </c>
      <c r="B174" s="688"/>
      <c r="C174" s="688"/>
      <c r="D174" s="688"/>
      <c r="E174" s="689"/>
      <c r="F174" s="54"/>
    </row>
    <row r="175" spans="1:6" ht="15" customHeight="1" thickBot="1">
      <c r="A175" s="687" t="s">
        <v>47</v>
      </c>
      <c r="B175" s="688"/>
      <c r="C175" s="688"/>
      <c r="D175" s="688"/>
      <c r="E175" s="56"/>
      <c r="F175" s="54"/>
    </row>
    <row r="176" spans="1:6" ht="15" customHeight="1" thickBot="1">
      <c r="A176" s="687" t="s">
        <v>46</v>
      </c>
      <c r="B176" s="688"/>
      <c r="C176" s="688"/>
      <c r="D176" s="688"/>
      <c r="E176" s="689"/>
      <c r="F176" s="54"/>
    </row>
    <row r="177" spans="1:41" ht="15" customHeight="1" thickBot="1">
      <c r="A177" s="687" t="s">
        <v>48</v>
      </c>
      <c r="B177" s="688"/>
      <c r="C177" s="688"/>
      <c r="D177" s="688"/>
      <c r="E177" s="55"/>
      <c r="F177" s="54"/>
    </row>
    <row r="178" spans="1:41" ht="15" customHeight="1" thickBot="1">
      <c r="A178" s="687" t="s">
        <v>46</v>
      </c>
      <c r="B178" s="688"/>
      <c r="C178" s="688"/>
      <c r="D178" s="688"/>
      <c r="E178" s="689"/>
      <c r="F178" s="54"/>
    </row>
    <row r="179" spans="1:41" ht="15" customHeight="1" thickBot="1">
      <c r="A179" s="687" t="s">
        <v>49</v>
      </c>
      <c r="B179" s="688"/>
      <c r="C179" s="688"/>
      <c r="D179" s="688"/>
      <c r="E179" s="56"/>
      <c r="F179" s="54"/>
    </row>
    <row r="180" spans="1:41" ht="15" customHeight="1" thickBot="1">
      <c r="A180" s="690" t="s">
        <v>50</v>
      </c>
      <c r="B180" s="691"/>
      <c r="C180" s="691"/>
      <c r="D180" s="691"/>
      <c r="E180" s="692"/>
      <c r="F180" s="57"/>
    </row>
    <row r="181" spans="1:41" ht="15" customHeight="1" thickBot="1">
      <c r="A181" s="693" t="s">
        <v>1406</v>
      </c>
      <c r="B181" s="694"/>
      <c r="C181" s="694"/>
      <c r="D181" s="694"/>
      <c r="E181" s="694"/>
      <c r="F181" s="695"/>
    </row>
    <row r="182" spans="1:41" ht="15" customHeight="1" thickBot="1"/>
    <row r="183" spans="1:41" ht="26.4" thickBot="1">
      <c r="A183" s="696" t="s">
        <v>0</v>
      </c>
      <c r="B183" s="697"/>
      <c r="C183" s="697"/>
      <c r="D183" s="697"/>
      <c r="E183" s="697"/>
      <c r="F183" s="698"/>
      <c r="H183" s="696" t="s">
        <v>0</v>
      </c>
      <c r="I183" s="697"/>
      <c r="J183" s="697"/>
      <c r="K183" s="697"/>
      <c r="L183" s="697"/>
      <c r="M183" s="698"/>
      <c r="O183" s="696" t="s">
        <v>0</v>
      </c>
      <c r="P183" s="697"/>
      <c r="Q183" s="697"/>
      <c r="R183" s="697"/>
      <c r="S183" s="697"/>
      <c r="T183" s="698"/>
      <c r="U183" s="228"/>
      <c r="V183" s="696" t="s">
        <v>0</v>
      </c>
      <c r="W183" s="697"/>
      <c r="X183" s="697"/>
      <c r="Y183" s="697"/>
      <c r="Z183" s="697"/>
      <c r="AA183" s="698"/>
      <c r="AB183" s="228"/>
      <c r="AC183" s="696" t="s">
        <v>0</v>
      </c>
      <c r="AD183" s="697"/>
      <c r="AE183" s="697"/>
      <c r="AF183" s="697"/>
      <c r="AG183" s="697"/>
      <c r="AH183" s="698"/>
      <c r="AJ183" s="696" t="s">
        <v>0</v>
      </c>
      <c r="AK183" s="697"/>
      <c r="AL183" s="697"/>
      <c r="AM183" s="697"/>
      <c r="AN183" s="697"/>
      <c r="AO183" s="698"/>
    </row>
    <row r="184" spans="1:41" ht="18.600000000000001" thickBot="1">
      <c r="A184" s="3" t="s">
        <v>1</v>
      </c>
      <c r="B184" s="693" t="s">
        <v>2</v>
      </c>
      <c r="C184" s="694"/>
      <c r="D184" s="694"/>
      <c r="E184" s="695"/>
      <c r="F184" s="3" t="s">
        <v>3</v>
      </c>
      <c r="H184" s="3" t="s">
        <v>1</v>
      </c>
      <c r="I184" s="693" t="s">
        <v>2</v>
      </c>
      <c r="J184" s="694"/>
      <c r="K184" s="694"/>
      <c r="L184" s="695"/>
      <c r="M184" s="3" t="s">
        <v>3</v>
      </c>
      <c r="O184" s="3" t="s">
        <v>1</v>
      </c>
      <c r="P184" s="693" t="s">
        <v>2</v>
      </c>
      <c r="Q184" s="694"/>
      <c r="R184" s="694"/>
      <c r="S184" s="695"/>
      <c r="T184" s="3" t="s">
        <v>3</v>
      </c>
      <c r="U184" s="228"/>
      <c r="V184" s="3" t="s">
        <v>1</v>
      </c>
      <c r="W184" s="693" t="s">
        <v>2</v>
      </c>
      <c r="X184" s="694"/>
      <c r="Y184" s="694"/>
      <c r="Z184" s="695"/>
      <c r="AA184" s="3" t="s">
        <v>3</v>
      </c>
      <c r="AB184" s="228"/>
      <c r="AC184" s="3" t="s">
        <v>1</v>
      </c>
      <c r="AD184" s="693" t="s">
        <v>2</v>
      </c>
      <c r="AE184" s="694"/>
      <c r="AF184" s="694"/>
      <c r="AG184" s="695"/>
      <c r="AH184" s="3" t="s">
        <v>3</v>
      </c>
      <c r="AJ184" s="3" t="s">
        <v>1</v>
      </c>
      <c r="AK184" s="693" t="s">
        <v>2</v>
      </c>
      <c r="AL184" s="694"/>
      <c r="AM184" s="694"/>
      <c r="AN184" s="695"/>
      <c r="AO184" s="3" t="s">
        <v>3</v>
      </c>
    </row>
    <row r="185" spans="1:41" ht="62.25" customHeight="1" thickBot="1">
      <c r="A185" s="5" t="s">
        <v>820</v>
      </c>
      <c r="B185" s="743" t="s">
        <v>1119</v>
      </c>
      <c r="C185" s="744"/>
      <c r="D185" s="744"/>
      <c r="E185" s="745"/>
      <c r="F185" s="5" t="s">
        <v>308</v>
      </c>
      <c r="H185" s="5" t="s">
        <v>821</v>
      </c>
      <c r="I185" s="743" t="s">
        <v>1021</v>
      </c>
      <c r="J185" s="744"/>
      <c r="K185" s="744"/>
      <c r="L185" s="745"/>
      <c r="M185" s="5" t="s">
        <v>1022</v>
      </c>
      <c r="O185" s="5" t="s">
        <v>822</v>
      </c>
      <c r="P185" s="743" t="s">
        <v>1081</v>
      </c>
      <c r="Q185" s="744"/>
      <c r="R185" s="744"/>
      <c r="S185" s="745"/>
      <c r="T185" s="5" t="s">
        <v>6</v>
      </c>
      <c r="U185" s="228"/>
      <c r="V185" s="5" t="s">
        <v>823</v>
      </c>
      <c r="W185" s="743" t="s">
        <v>1082</v>
      </c>
      <c r="X185" s="744"/>
      <c r="Y185" s="744"/>
      <c r="Z185" s="745"/>
      <c r="AA185" s="5" t="s">
        <v>6</v>
      </c>
      <c r="AB185" s="228"/>
      <c r="AC185" s="5" t="s">
        <v>824</v>
      </c>
      <c r="AD185" s="743" t="s">
        <v>1083</v>
      </c>
      <c r="AE185" s="744"/>
      <c r="AF185" s="744"/>
      <c r="AG185" s="745"/>
      <c r="AH185" s="5" t="s">
        <v>308</v>
      </c>
      <c r="AJ185" s="5" t="s">
        <v>1347</v>
      </c>
      <c r="AK185" s="743" t="s">
        <v>1346</v>
      </c>
      <c r="AL185" s="744"/>
      <c r="AM185" s="744"/>
      <c r="AN185" s="745"/>
      <c r="AO185" s="5" t="s">
        <v>308</v>
      </c>
    </row>
    <row r="186" spans="1:41" ht="15" customHeight="1" thickBot="1">
      <c r="A186" s="705" t="s">
        <v>8</v>
      </c>
      <c r="B186" s="706"/>
      <c r="C186" s="706"/>
      <c r="D186" s="706"/>
      <c r="E186" s="706"/>
      <c r="F186" s="707"/>
      <c r="H186" s="705" t="s">
        <v>8</v>
      </c>
      <c r="I186" s="706"/>
      <c r="J186" s="706"/>
      <c r="K186" s="706"/>
      <c r="L186" s="706"/>
      <c r="M186" s="707"/>
      <c r="O186" s="705" t="s">
        <v>8</v>
      </c>
      <c r="P186" s="706"/>
      <c r="Q186" s="706"/>
      <c r="R186" s="706"/>
      <c r="S186" s="706"/>
      <c r="T186" s="707"/>
      <c r="U186" s="228"/>
      <c r="V186" s="705" t="s">
        <v>8</v>
      </c>
      <c r="W186" s="706"/>
      <c r="X186" s="706"/>
      <c r="Y186" s="706"/>
      <c r="Z186" s="706"/>
      <c r="AA186" s="707"/>
      <c r="AB186" s="228"/>
      <c r="AC186" s="705" t="s">
        <v>8</v>
      </c>
      <c r="AD186" s="706"/>
      <c r="AE186" s="706"/>
      <c r="AF186" s="706"/>
      <c r="AG186" s="706"/>
      <c r="AH186" s="707"/>
      <c r="AJ186" s="705" t="s">
        <v>8</v>
      </c>
      <c r="AK186" s="706"/>
      <c r="AL186" s="706"/>
      <c r="AM186" s="706"/>
      <c r="AN186" s="706"/>
      <c r="AO186" s="707"/>
    </row>
    <row r="187" spans="1:41" ht="15" customHeight="1" thickBot="1">
      <c r="A187" s="8" t="s">
        <v>1</v>
      </c>
      <c r="B187" s="5" t="s">
        <v>2</v>
      </c>
      <c r="C187" s="8" t="s">
        <v>3</v>
      </c>
      <c r="D187" s="8" t="s">
        <v>9</v>
      </c>
      <c r="E187" s="8" t="s">
        <v>10</v>
      </c>
      <c r="F187" s="8" t="s">
        <v>11</v>
      </c>
      <c r="H187" s="8" t="s">
        <v>1</v>
      </c>
      <c r="I187" s="5" t="s">
        <v>2</v>
      </c>
      <c r="J187" s="8" t="s">
        <v>3</v>
      </c>
      <c r="K187" s="8" t="s">
        <v>9</v>
      </c>
      <c r="L187" s="8" t="s">
        <v>10</v>
      </c>
      <c r="M187" s="8" t="s">
        <v>11</v>
      </c>
      <c r="O187" s="8" t="s">
        <v>1</v>
      </c>
      <c r="P187" s="5" t="s">
        <v>2</v>
      </c>
      <c r="Q187" s="8" t="s">
        <v>3</v>
      </c>
      <c r="R187" s="8" t="s">
        <v>9</v>
      </c>
      <c r="S187" s="8" t="s">
        <v>10</v>
      </c>
      <c r="T187" s="8" t="s">
        <v>11</v>
      </c>
      <c r="U187" s="228"/>
      <c r="V187" s="8" t="s">
        <v>1</v>
      </c>
      <c r="W187" s="5" t="s">
        <v>2</v>
      </c>
      <c r="X187" s="8" t="s">
        <v>3</v>
      </c>
      <c r="Y187" s="8" t="s">
        <v>9</v>
      </c>
      <c r="Z187" s="8" t="s">
        <v>10</v>
      </c>
      <c r="AA187" s="8" t="s">
        <v>11</v>
      </c>
      <c r="AB187" s="228"/>
      <c r="AC187" s="8" t="s">
        <v>1</v>
      </c>
      <c r="AD187" s="5" t="s">
        <v>2</v>
      </c>
      <c r="AE187" s="8" t="s">
        <v>3</v>
      </c>
      <c r="AF187" s="8" t="s">
        <v>9</v>
      </c>
      <c r="AG187" s="8" t="s">
        <v>10</v>
      </c>
      <c r="AH187" s="8" t="s">
        <v>11</v>
      </c>
      <c r="AJ187" s="8" t="s">
        <v>1</v>
      </c>
      <c r="AK187" s="5" t="s">
        <v>2</v>
      </c>
      <c r="AL187" s="8" t="s">
        <v>3</v>
      </c>
      <c r="AM187" s="8" t="s">
        <v>9</v>
      </c>
      <c r="AN187" s="8" t="s">
        <v>10</v>
      </c>
      <c r="AO187" s="8" t="s">
        <v>11</v>
      </c>
    </row>
    <row r="188" spans="1:41" ht="15" customHeight="1" thickBot="1">
      <c r="A188" s="463"/>
      <c r="B188" s="459"/>
      <c r="C188" s="9"/>
      <c r="D188" s="11"/>
      <c r="E188" s="12"/>
      <c r="F188" s="13"/>
      <c r="H188" s="463"/>
      <c r="I188" s="459"/>
      <c r="J188" s="9"/>
      <c r="K188" s="11"/>
      <c r="L188" s="12"/>
      <c r="M188" s="13"/>
      <c r="O188" s="463"/>
      <c r="P188" s="459"/>
      <c r="Q188" s="9"/>
      <c r="R188" s="11"/>
      <c r="S188" s="12"/>
      <c r="T188" s="13"/>
      <c r="U188" s="228"/>
      <c r="V188" s="463"/>
      <c r="W188" s="459"/>
      <c r="X188" s="9"/>
      <c r="Y188" s="11"/>
      <c r="Z188" s="12"/>
      <c r="AA188" s="13"/>
      <c r="AB188" s="228"/>
      <c r="AC188" s="463"/>
      <c r="AD188" s="459"/>
      <c r="AE188" s="9"/>
      <c r="AF188" s="11"/>
      <c r="AG188" s="12"/>
      <c r="AH188" s="13"/>
      <c r="AJ188" s="463" t="s">
        <v>1351</v>
      </c>
      <c r="AK188" s="459" t="s">
        <v>1348</v>
      </c>
      <c r="AL188" s="9" t="s">
        <v>17</v>
      </c>
      <c r="AM188" s="11">
        <f>(1*1*1)*1.35</f>
        <v>1.35</v>
      </c>
      <c r="AN188" s="12">
        <f>MATERIALES!E220</f>
        <v>68.7</v>
      </c>
      <c r="AO188" s="13">
        <f>AM188*AN188</f>
        <v>92.745000000000005</v>
      </c>
    </row>
    <row r="189" spans="1:41" ht="15" customHeight="1">
      <c r="A189" s="466"/>
      <c r="B189" s="460"/>
      <c r="C189" s="16"/>
      <c r="D189" s="18"/>
      <c r="E189" s="20"/>
      <c r="F189" s="20"/>
      <c r="H189" s="466"/>
      <c r="I189" s="460"/>
      <c r="J189" s="16"/>
      <c r="K189" s="18"/>
      <c r="L189" s="20"/>
      <c r="M189" s="20"/>
      <c r="O189" s="466"/>
      <c r="P189" s="460"/>
      <c r="Q189" s="16"/>
      <c r="R189" s="18"/>
      <c r="S189" s="20"/>
      <c r="T189" s="20"/>
      <c r="U189" s="228"/>
      <c r="V189" s="466"/>
      <c r="W189" s="460"/>
      <c r="X189" s="16"/>
      <c r="Y189" s="18"/>
      <c r="Z189" s="20"/>
      <c r="AA189" s="20"/>
      <c r="AB189" s="228"/>
      <c r="AC189" s="466"/>
      <c r="AD189" s="460"/>
      <c r="AE189" s="16"/>
      <c r="AF189" s="18"/>
      <c r="AG189" s="20"/>
      <c r="AH189" s="20"/>
      <c r="AJ189" s="466" t="s">
        <v>15</v>
      </c>
      <c r="AK189" s="460" t="s">
        <v>146</v>
      </c>
      <c r="AL189" s="16" t="s">
        <v>17</v>
      </c>
      <c r="AM189" s="18">
        <f>OPERACIONES!E55</f>
        <v>0.105</v>
      </c>
      <c r="AN189" s="20">
        <f>MATERIALES!E15</f>
        <v>10</v>
      </c>
      <c r="AO189" s="13">
        <f>AM189*AN189</f>
        <v>1.05</v>
      </c>
    </row>
    <row r="190" spans="1:41" ht="15" customHeight="1">
      <c r="A190" s="466"/>
      <c r="B190" s="460"/>
      <c r="C190" s="16"/>
      <c r="D190" s="18"/>
      <c r="E190" s="20"/>
      <c r="F190" s="20"/>
      <c r="H190" s="466"/>
      <c r="I190" s="460"/>
      <c r="J190" s="16"/>
      <c r="K190" s="18"/>
      <c r="L190" s="20"/>
      <c r="M190" s="20"/>
      <c r="O190" s="466"/>
      <c r="P190" s="460"/>
      <c r="Q190" s="16"/>
      <c r="R190" s="18"/>
      <c r="S190" s="20"/>
      <c r="T190" s="20"/>
      <c r="U190" s="228"/>
      <c r="V190" s="466"/>
      <c r="W190" s="460"/>
      <c r="X190" s="16"/>
      <c r="Y190" s="18"/>
      <c r="Z190" s="20"/>
      <c r="AA190" s="20"/>
      <c r="AB190" s="228"/>
      <c r="AC190" s="466"/>
      <c r="AD190" s="460"/>
      <c r="AE190" s="16"/>
      <c r="AF190" s="18"/>
      <c r="AG190" s="20"/>
      <c r="AH190" s="20"/>
      <c r="AJ190" s="466"/>
      <c r="AK190" s="460"/>
      <c r="AL190" s="16"/>
      <c r="AM190" s="637"/>
      <c r="AN190" s="20"/>
      <c r="AO190" s="20"/>
    </row>
    <row r="191" spans="1:41" ht="15" customHeight="1">
      <c r="A191" s="462"/>
      <c r="B191" s="461"/>
      <c r="C191" s="21"/>
      <c r="D191" s="21"/>
      <c r="E191" s="20"/>
      <c r="F191" s="20"/>
      <c r="H191" s="462"/>
      <c r="I191" s="461"/>
      <c r="J191" s="21"/>
      <c r="K191" s="21"/>
      <c r="L191" s="20"/>
      <c r="M191" s="20"/>
      <c r="O191" s="462"/>
      <c r="P191" s="461"/>
      <c r="Q191" s="21"/>
      <c r="R191" s="21"/>
      <c r="S191" s="20"/>
      <c r="T191" s="20"/>
      <c r="U191" s="228"/>
      <c r="V191" s="462"/>
      <c r="W191" s="461"/>
      <c r="X191" s="21"/>
      <c r="Y191" s="21"/>
      <c r="Z191" s="20"/>
      <c r="AA191" s="20"/>
      <c r="AB191" s="228"/>
      <c r="AC191" s="462"/>
      <c r="AD191" s="461"/>
      <c r="AE191" s="21"/>
      <c r="AF191" s="21"/>
      <c r="AG191" s="20"/>
      <c r="AH191" s="20"/>
      <c r="AJ191" s="462"/>
      <c r="AK191" s="461"/>
      <c r="AL191" s="21"/>
      <c r="AM191" s="21"/>
      <c r="AN191" s="20"/>
      <c r="AO191" s="20"/>
    </row>
    <row r="192" spans="1:41" ht="15" customHeight="1">
      <c r="A192" s="462"/>
      <c r="B192" s="461"/>
      <c r="C192" s="462"/>
      <c r="D192" s="21"/>
      <c r="E192" s="20"/>
      <c r="F192" s="20"/>
      <c r="H192" s="462"/>
      <c r="I192" s="461"/>
      <c r="J192" s="462"/>
      <c r="K192" s="21"/>
      <c r="L192" s="20"/>
      <c r="M192" s="20"/>
      <c r="O192" s="462"/>
      <c r="P192" s="461"/>
      <c r="Q192" s="462"/>
      <c r="R192" s="21"/>
      <c r="S192" s="20"/>
      <c r="T192" s="20"/>
      <c r="U192" s="228"/>
      <c r="V192" s="462"/>
      <c r="W192" s="461"/>
      <c r="X192" s="462"/>
      <c r="Y192" s="21"/>
      <c r="Z192" s="20"/>
      <c r="AA192" s="20"/>
      <c r="AB192" s="228"/>
      <c r="AC192" s="462"/>
      <c r="AD192" s="461"/>
      <c r="AE192" s="462"/>
      <c r="AF192" s="21"/>
      <c r="AG192" s="20"/>
      <c r="AH192" s="20"/>
      <c r="AJ192" s="462"/>
      <c r="AK192" s="461"/>
      <c r="AL192" s="462"/>
      <c r="AM192" s="21"/>
      <c r="AN192" s="20"/>
      <c r="AO192" s="20"/>
    </row>
    <row r="193" spans="1:41" ht="15" customHeight="1">
      <c r="A193" s="462"/>
      <c r="B193" s="461"/>
      <c r="C193" s="462"/>
      <c r="D193" s="21"/>
      <c r="E193" s="20"/>
      <c r="F193" s="20"/>
      <c r="H193" s="462"/>
      <c r="I193" s="461"/>
      <c r="J193" s="462"/>
      <c r="K193" s="21"/>
      <c r="L193" s="20"/>
      <c r="M193" s="20"/>
      <c r="O193" s="462"/>
      <c r="P193" s="461"/>
      <c r="Q193" s="462"/>
      <c r="R193" s="21"/>
      <c r="S193" s="20"/>
      <c r="T193" s="20"/>
      <c r="U193" s="228"/>
      <c r="V193" s="462"/>
      <c r="W193" s="461"/>
      <c r="X193" s="462"/>
      <c r="Y193" s="21"/>
      <c r="Z193" s="20"/>
      <c r="AA193" s="20"/>
      <c r="AB193" s="228"/>
      <c r="AC193" s="462"/>
      <c r="AD193" s="461"/>
      <c r="AE193" s="462"/>
      <c r="AF193" s="21"/>
      <c r="AG193" s="20"/>
      <c r="AH193" s="20"/>
      <c r="AJ193" s="462"/>
      <c r="AK193" s="461"/>
      <c r="AL193" s="462"/>
      <c r="AM193" s="21"/>
      <c r="AN193" s="20"/>
      <c r="AO193" s="20"/>
    </row>
    <row r="194" spans="1:41" ht="15" customHeight="1" thickBot="1">
      <c r="A194" s="23"/>
      <c r="B194" s="24"/>
      <c r="C194" s="23"/>
      <c r="D194" s="23"/>
      <c r="E194" s="25"/>
      <c r="F194" s="25"/>
      <c r="H194" s="23"/>
      <c r="I194" s="24"/>
      <c r="J194" s="23"/>
      <c r="K194" s="23"/>
      <c r="L194" s="25"/>
      <c r="M194" s="25"/>
      <c r="O194" s="23"/>
      <c r="P194" s="24"/>
      <c r="Q194" s="23"/>
      <c r="R194" s="23"/>
      <c r="S194" s="25"/>
      <c r="T194" s="25"/>
      <c r="U194" s="228"/>
      <c r="V194" s="23"/>
      <c r="W194" s="24"/>
      <c r="X194" s="23"/>
      <c r="Y194" s="23"/>
      <c r="Z194" s="25"/>
      <c r="AA194" s="25"/>
      <c r="AB194" s="228"/>
      <c r="AC194" s="23"/>
      <c r="AD194" s="24"/>
      <c r="AE194" s="23"/>
      <c r="AF194" s="23"/>
      <c r="AG194" s="25"/>
      <c r="AH194" s="25"/>
      <c r="AJ194" s="23"/>
      <c r="AK194" s="24"/>
      <c r="AL194" s="23"/>
      <c r="AM194" s="23"/>
      <c r="AN194" s="25"/>
      <c r="AO194" s="25"/>
    </row>
    <row r="195" spans="1:41" ht="15" customHeight="1" thickBot="1">
      <c r="A195" s="708" t="s">
        <v>18</v>
      </c>
      <c r="B195" s="709"/>
      <c r="C195" s="709"/>
      <c r="D195" s="709"/>
      <c r="E195" s="710"/>
      <c r="F195" s="26">
        <f>SUM(F188:F194)</f>
        <v>0</v>
      </c>
      <c r="H195" s="708" t="s">
        <v>18</v>
      </c>
      <c r="I195" s="709"/>
      <c r="J195" s="709"/>
      <c r="K195" s="709"/>
      <c r="L195" s="710"/>
      <c r="M195" s="26">
        <f>SUM(M188:M194)</f>
        <v>0</v>
      </c>
      <c r="O195" s="708" t="s">
        <v>18</v>
      </c>
      <c r="P195" s="709"/>
      <c r="Q195" s="709"/>
      <c r="R195" s="709"/>
      <c r="S195" s="710"/>
      <c r="T195" s="26">
        <f>SUM(T188:T194)</f>
        <v>0</v>
      </c>
      <c r="U195" s="228"/>
      <c r="V195" s="708" t="s">
        <v>18</v>
      </c>
      <c r="W195" s="709"/>
      <c r="X195" s="709"/>
      <c r="Y195" s="709"/>
      <c r="Z195" s="710"/>
      <c r="AA195" s="26">
        <f>SUM(AA188:AA194)</f>
        <v>0</v>
      </c>
      <c r="AB195" s="228"/>
      <c r="AC195" s="708" t="s">
        <v>18</v>
      </c>
      <c r="AD195" s="709"/>
      <c r="AE195" s="709"/>
      <c r="AF195" s="709"/>
      <c r="AG195" s="710"/>
      <c r="AH195" s="26">
        <f>SUM(AH188:AH194)</f>
        <v>0</v>
      </c>
      <c r="AJ195" s="708" t="s">
        <v>18</v>
      </c>
      <c r="AK195" s="709"/>
      <c r="AL195" s="709"/>
      <c r="AM195" s="709"/>
      <c r="AN195" s="710"/>
      <c r="AO195" s="26">
        <f>SUM(AO188:AO194)</f>
        <v>93.795000000000002</v>
      </c>
    </row>
    <row r="196" spans="1:41" ht="15" customHeight="1" thickBot="1">
      <c r="A196" s="711" t="s">
        <v>19</v>
      </c>
      <c r="B196" s="712"/>
      <c r="C196" s="712"/>
      <c r="D196" s="712"/>
      <c r="E196" s="712"/>
      <c r="F196" s="713"/>
      <c r="H196" s="711" t="s">
        <v>19</v>
      </c>
      <c r="I196" s="712"/>
      <c r="J196" s="712"/>
      <c r="K196" s="712"/>
      <c r="L196" s="712"/>
      <c r="M196" s="713"/>
      <c r="O196" s="711" t="s">
        <v>19</v>
      </c>
      <c r="P196" s="712"/>
      <c r="Q196" s="712"/>
      <c r="R196" s="712"/>
      <c r="S196" s="712"/>
      <c r="T196" s="713"/>
      <c r="U196" s="228"/>
      <c r="V196" s="711" t="s">
        <v>19</v>
      </c>
      <c r="W196" s="712"/>
      <c r="X196" s="712"/>
      <c r="Y196" s="712"/>
      <c r="Z196" s="712"/>
      <c r="AA196" s="713"/>
      <c r="AB196" s="228"/>
      <c r="AC196" s="711" t="s">
        <v>19</v>
      </c>
      <c r="AD196" s="712"/>
      <c r="AE196" s="712"/>
      <c r="AF196" s="712"/>
      <c r="AG196" s="712"/>
      <c r="AH196" s="713"/>
      <c r="AJ196" s="711" t="s">
        <v>19</v>
      </c>
      <c r="AK196" s="712"/>
      <c r="AL196" s="712"/>
      <c r="AM196" s="712"/>
      <c r="AN196" s="712"/>
      <c r="AO196" s="713"/>
    </row>
    <row r="197" spans="1:41" ht="15" customHeight="1" thickBot="1">
      <c r="A197" s="8" t="s">
        <v>1</v>
      </c>
      <c r="B197" s="5" t="s">
        <v>2</v>
      </c>
      <c r="C197" s="8" t="s">
        <v>3</v>
      </c>
      <c r="D197" s="8" t="s">
        <v>9</v>
      </c>
      <c r="E197" s="8" t="s">
        <v>10</v>
      </c>
      <c r="F197" s="8" t="s">
        <v>11</v>
      </c>
      <c r="H197" s="8" t="s">
        <v>1</v>
      </c>
      <c r="I197" s="5" t="s">
        <v>2</v>
      </c>
      <c r="J197" s="8" t="s">
        <v>3</v>
      </c>
      <c r="K197" s="8" t="s">
        <v>9</v>
      </c>
      <c r="L197" s="8" t="s">
        <v>10</v>
      </c>
      <c r="M197" s="8" t="s">
        <v>11</v>
      </c>
      <c r="O197" s="8" t="s">
        <v>1</v>
      </c>
      <c r="P197" s="5" t="s">
        <v>2</v>
      </c>
      <c r="Q197" s="8" t="s">
        <v>3</v>
      </c>
      <c r="R197" s="8" t="s">
        <v>9</v>
      </c>
      <c r="S197" s="8" t="s">
        <v>10</v>
      </c>
      <c r="T197" s="8" t="s">
        <v>11</v>
      </c>
      <c r="U197" s="228"/>
      <c r="V197" s="8" t="s">
        <v>1</v>
      </c>
      <c r="W197" s="5" t="s">
        <v>2</v>
      </c>
      <c r="X197" s="8" t="s">
        <v>3</v>
      </c>
      <c r="Y197" s="8" t="s">
        <v>9</v>
      </c>
      <c r="Z197" s="8" t="s">
        <v>10</v>
      </c>
      <c r="AA197" s="8" t="s">
        <v>11</v>
      </c>
      <c r="AB197" s="228"/>
      <c r="AC197" s="8" t="s">
        <v>1</v>
      </c>
      <c r="AD197" s="5" t="s">
        <v>2</v>
      </c>
      <c r="AE197" s="8" t="s">
        <v>3</v>
      </c>
      <c r="AF197" s="8" t="s">
        <v>9</v>
      </c>
      <c r="AG197" s="8" t="s">
        <v>10</v>
      </c>
      <c r="AH197" s="8" t="s">
        <v>11</v>
      </c>
      <c r="AJ197" s="8" t="s">
        <v>1</v>
      </c>
      <c r="AK197" s="5" t="s">
        <v>2</v>
      </c>
      <c r="AL197" s="8" t="s">
        <v>3</v>
      </c>
      <c r="AM197" s="8" t="s">
        <v>9</v>
      </c>
      <c r="AN197" s="8" t="s">
        <v>10</v>
      </c>
      <c r="AO197" s="8" t="s">
        <v>11</v>
      </c>
    </row>
    <row r="198" spans="1:41" ht="15" customHeight="1">
      <c r="A198" s="463" t="s">
        <v>1016</v>
      </c>
      <c r="B198" s="459" t="s">
        <v>1058</v>
      </c>
      <c r="C198" s="9" t="s">
        <v>21</v>
      </c>
      <c r="D198" s="27">
        <f>1/7.46</f>
        <v>0.13404825737265416</v>
      </c>
      <c r="E198" s="12">
        <f>'ANÁLISIS CUADRILLAS'!F63</f>
        <v>468.63792299999994</v>
      </c>
      <c r="F198" s="13">
        <f>D198*E198</f>
        <v>62.820096916890073</v>
      </c>
      <c r="H198" s="463"/>
      <c r="I198" s="459"/>
      <c r="J198" s="9"/>
      <c r="K198" s="27"/>
      <c r="L198" s="12"/>
      <c r="M198" s="13">
        <f>K198*L198</f>
        <v>0</v>
      </c>
      <c r="O198" s="363" t="s">
        <v>1084</v>
      </c>
      <c r="P198" s="459" t="s">
        <v>1085</v>
      </c>
      <c r="Q198" s="9" t="s">
        <v>21</v>
      </c>
      <c r="R198" s="27">
        <f>(1*1)/57.01</f>
        <v>1.7540782318891422E-2</v>
      </c>
      <c r="S198" s="12">
        <f>'ANÁLISIS CUADRILLAS'!F70</f>
        <v>937.27584599999989</v>
      </c>
      <c r="T198" s="13">
        <f>R198*S198</f>
        <v>16.440551587440797</v>
      </c>
      <c r="U198" s="228"/>
      <c r="V198" s="363" t="s">
        <v>1084</v>
      </c>
      <c r="W198" s="459" t="s">
        <v>1086</v>
      </c>
      <c r="X198" s="9" t="s">
        <v>21</v>
      </c>
      <c r="Y198" s="27">
        <f>(1*1)/25.6</f>
        <v>3.90625E-2</v>
      </c>
      <c r="Z198" s="12">
        <f>'ANÁLISIS CUADRILLAS'!F70</f>
        <v>937.27584599999989</v>
      </c>
      <c r="AA198" s="13">
        <f>Y198*Z198</f>
        <v>36.612337734374997</v>
      </c>
      <c r="AB198" s="228"/>
      <c r="AC198" s="363" t="s">
        <v>1084</v>
      </c>
      <c r="AD198" s="459" t="s">
        <v>1086</v>
      </c>
      <c r="AE198" s="9" t="s">
        <v>21</v>
      </c>
      <c r="AF198" s="27">
        <f>(1*1)/4.75</f>
        <v>0.21052631578947367</v>
      </c>
      <c r="AG198" s="12">
        <f>'ANÁLISIS CUADRILLAS'!F70</f>
        <v>937.27584599999989</v>
      </c>
      <c r="AH198" s="13">
        <f>AF198*AG198</f>
        <v>197.32123073684207</v>
      </c>
      <c r="AJ198" s="636" t="s">
        <v>1016</v>
      </c>
      <c r="AK198" s="459" t="s">
        <v>1353</v>
      </c>
      <c r="AL198" s="9" t="s">
        <v>21</v>
      </c>
      <c r="AM198" s="27">
        <f>1/7.5</f>
        <v>0.13333333333333333</v>
      </c>
      <c r="AN198" s="12">
        <f>'ANÁLISIS CUADRILLAS'!F63</f>
        <v>468.63792299999994</v>
      </c>
      <c r="AO198" s="13">
        <f>AM198*AN198</f>
        <v>62.485056399999991</v>
      </c>
    </row>
    <row r="199" spans="1:41" ht="15" customHeight="1" thickBot="1">
      <c r="A199" s="23"/>
      <c r="B199" s="24"/>
      <c r="C199" s="23"/>
      <c r="D199" s="23"/>
      <c r="E199" s="25"/>
      <c r="F199" s="25"/>
      <c r="H199" s="23"/>
      <c r="I199" s="24"/>
      <c r="J199" s="23"/>
      <c r="K199" s="23"/>
      <c r="L199" s="25"/>
      <c r="M199" s="25"/>
      <c r="O199" s="23"/>
      <c r="P199" s="24"/>
      <c r="Q199" s="23"/>
      <c r="R199" s="23"/>
      <c r="S199" s="25"/>
      <c r="T199" s="25"/>
      <c r="U199" s="228"/>
      <c r="V199" s="23"/>
      <c r="W199" s="24"/>
      <c r="X199" s="23"/>
      <c r="Y199" s="23"/>
      <c r="Z199" s="25"/>
      <c r="AA199" s="25"/>
      <c r="AB199" s="228"/>
      <c r="AC199" s="23"/>
      <c r="AD199" s="24"/>
      <c r="AE199" s="23"/>
      <c r="AF199" s="23"/>
      <c r="AG199" s="25"/>
      <c r="AH199" s="25"/>
      <c r="AJ199" s="23"/>
      <c r="AK199" s="24"/>
      <c r="AL199" s="23"/>
      <c r="AM199" s="23"/>
      <c r="AN199" s="25"/>
      <c r="AO199" s="25"/>
    </row>
    <row r="200" spans="1:41" ht="15" customHeight="1" thickBot="1">
      <c r="A200" s="714" t="s">
        <v>18</v>
      </c>
      <c r="B200" s="715"/>
      <c r="C200" s="715"/>
      <c r="D200" s="715"/>
      <c r="E200" s="716"/>
      <c r="F200" s="35">
        <f>SUM(F198:F199)</f>
        <v>62.820096916890073</v>
      </c>
      <c r="H200" s="714" t="s">
        <v>18</v>
      </c>
      <c r="I200" s="715"/>
      <c r="J200" s="715"/>
      <c r="K200" s="715"/>
      <c r="L200" s="716"/>
      <c r="M200" s="35">
        <f>SUM(M198:M199)</f>
        <v>0</v>
      </c>
      <c r="O200" s="714" t="s">
        <v>18</v>
      </c>
      <c r="P200" s="715"/>
      <c r="Q200" s="715"/>
      <c r="R200" s="715"/>
      <c r="S200" s="716"/>
      <c r="T200" s="35">
        <f>SUM(T198:T199)</f>
        <v>16.440551587440797</v>
      </c>
      <c r="U200" s="228"/>
      <c r="V200" s="714" t="s">
        <v>18</v>
      </c>
      <c r="W200" s="715"/>
      <c r="X200" s="715"/>
      <c r="Y200" s="715"/>
      <c r="Z200" s="716"/>
      <c r="AA200" s="35">
        <f>SUM(AA198:AA199)</f>
        <v>36.612337734374997</v>
      </c>
      <c r="AB200" s="228"/>
      <c r="AC200" s="714" t="s">
        <v>18</v>
      </c>
      <c r="AD200" s="715"/>
      <c r="AE200" s="715"/>
      <c r="AF200" s="715"/>
      <c r="AG200" s="716"/>
      <c r="AH200" s="35">
        <f>SUM(AH198:AH199)</f>
        <v>197.32123073684207</v>
      </c>
      <c r="AJ200" s="714" t="s">
        <v>18</v>
      </c>
      <c r="AK200" s="715"/>
      <c r="AL200" s="715"/>
      <c r="AM200" s="715"/>
      <c r="AN200" s="716"/>
      <c r="AO200" s="35">
        <f>SUM(AO198:AO199)</f>
        <v>62.485056399999991</v>
      </c>
    </row>
    <row r="201" spans="1:41" ht="15" customHeight="1" thickBot="1">
      <c r="A201" s="717" t="s">
        <v>23</v>
      </c>
      <c r="B201" s="718"/>
      <c r="C201" s="718"/>
      <c r="D201" s="718"/>
      <c r="E201" s="718"/>
      <c r="F201" s="719"/>
      <c r="H201" s="717" t="s">
        <v>23</v>
      </c>
      <c r="I201" s="718"/>
      <c r="J201" s="718"/>
      <c r="K201" s="718"/>
      <c r="L201" s="718"/>
      <c r="M201" s="719"/>
      <c r="O201" s="717" t="s">
        <v>23</v>
      </c>
      <c r="P201" s="718"/>
      <c r="Q201" s="718"/>
      <c r="R201" s="718"/>
      <c r="S201" s="718"/>
      <c r="T201" s="719"/>
      <c r="U201" s="228"/>
      <c r="V201" s="717" t="s">
        <v>23</v>
      </c>
      <c r="W201" s="718"/>
      <c r="X201" s="718"/>
      <c r="Y201" s="718"/>
      <c r="Z201" s="718"/>
      <c r="AA201" s="719"/>
      <c r="AB201" s="228"/>
      <c r="AC201" s="717" t="s">
        <v>23</v>
      </c>
      <c r="AD201" s="718"/>
      <c r="AE201" s="718"/>
      <c r="AF201" s="718"/>
      <c r="AG201" s="718"/>
      <c r="AH201" s="719"/>
      <c r="AJ201" s="717" t="s">
        <v>23</v>
      </c>
      <c r="AK201" s="718"/>
      <c r="AL201" s="718"/>
      <c r="AM201" s="718"/>
      <c r="AN201" s="718"/>
      <c r="AO201" s="719"/>
    </row>
    <row r="202" spans="1:41" ht="15" customHeight="1" thickBot="1">
      <c r="A202" s="8" t="s">
        <v>1</v>
      </c>
      <c r="B202" s="5" t="s">
        <v>2</v>
      </c>
      <c r="C202" s="8" t="s">
        <v>3</v>
      </c>
      <c r="D202" s="8" t="s">
        <v>9</v>
      </c>
      <c r="E202" s="8" t="s">
        <v>10</v>
      </c>
      <c r="F202" s="8" t="s">
        <v>11</v>
      </c>
      <c r="H202" s="8" t="s">
        <v>1</v>
      </c>
      <c r="I202" s="5" t="s">
        <v>2</v>
      </c>
      <c r="J202" s="8" t="s">
        <v>3</v>
      </c>
      <c r="K202" s="8" t="s">
        <v>9</v>
      </c>
      <c r="L202" s="8" t="s">
        <v>10</v>
      </c>
      <c r="M202" s="8" t="s">
        <v>11</v>
      </c>
      <c r="O202" s="8" t="s">
        <v>1</v>
      </c>
      <c r="P202" s="5" t="s">
        <v>2</v>
      </c>
      <c r="Q202" s="8" t="s">
        <v>3</v>
      </c>
      <c r="R202" s="8" t="s">
        <v>9</v>
      </c>
      <c r="S202" s="8" t="s">
        <v>10</v>
      </c>
      <c r="T202" s="8" t="s">
        <v>11</v>
      </c>
      <c r="U202" s="228"/>
      <c r="V202" s="8" t="s">
        <v>1</v>
      </c>
      <c r="W202" s="5" t="s">
        <v>2</v>
      </c>
      <c r="X202" s="8" t="s">
        <v>3</v>
      </c>
      <c r="Y202" s="8" t="s">
        <v>9</v>
      </c>
      <c r="Z202" s="8" t="s">
        <v>10</v>
      </c>
      <c r="AA202" s="8" t="s">
        <v>11</v>
      </c>
      <c r="AB202" s="228"/>
      <c r="AC202" s="8" t="s">
        <v>1</v>
      </c>
      <c r="AD202" s="5" t="s">
        <v>2</v>
      </c>
      <c r="AE202" s="8" t="s">
        <v>3</v>
      </c>
      <c r="AF202" s="8" t="s">
        <v>9</v>
      </c>
      <c r="AG202" s="8" t="s">
        <v>10</v>
      </c>
      <c r="AH202" s="8" t="s">
        <v>11</v>
      </c>
      <c r="AJ202" s="8" t="s">
        <v>1</v>
      </c>
      <c r="AK202" s="5" t="s">
        <v>2</v>
      </c>
      <c r="AL202" s="8" t="s">
        <v>3</v>
      </c>
      <c r="AM202" s="8" t="s">
        <v>9</v>
      </c>
      <c r="AN202" s="8" t="s">
        <v>10</v>
      </c>
      <c r="AO202" s="8" t="s">
        <v>11</v>
      </c>
    </row>
    <row r="203" spans="1:41" ht="15" customHeight="1" thickBot="1">
      <c r="A203" s="36" t="s">
        <v>24</v>
      </c>
      <c r="B203" s="37" t="s">
        <v>23</v>
      </c>
      <c r="C203" s="36" t="s">
        <v>25</v>
      </c>
      <c r="D203" s="38">
        <v>0.03</v>
      </c>
      <c r="E203" s="39">
        <f>F198</f>
        <v>62.820096916890073</v>
      </c>
      <c r="F203" s="39">
        <f>(D203*E203)</f>
        <v>1.8846029075067021</v>
      </c>
      <c r="H203" s="36"/>
      <c r="I203" s="37"/>
      <c r="J203" s="36"/>
      <c r="K203" s="38"/>
      <c r="L203" s="39"/>
      <c r="M203" s="39">
        <f>(K203*L203)</f>
        <v>0</v>
      </c>
      <c r="O203" s="36" t="s">
        <v>24</v>
      </c>
      <c r="P203" s="37" t="s">
        <v>23</v>
      </c>
      <c r="Q203" s="36" t="s">
        <v>25</v>
      </c>
      <c r="R203" s="38">
        <v>0.03</v>
      </c>
      <c r="S203" s="39">
        <f>T198</f>
        <v>16.440551587440797</v>
      </c>
      <c r="T203" s="39">
        <f>(R203*S203)</f>
        <v>0.49321654762322392</v>
      </c>
      <c r="U203" s="228"/>
      <c r="V203" s="36" t="s">
        <v>24</v>
      </c>
      <c r="W203" s="37" t="s">
        <v>23</v>
      </c>
      <c r="X203" s="36" t="s">
        <v>25</v>
      </c>
      <c r="Y203" s="38">
        <v>0.03</v>
      </c>
      <c r="Z203" s="39">
        <f>AA198</f>
        <v>36.612337734374997</v>
      </c>
      <c r="AA203" s="39">
        <f>(Y203*Z203)</f>
        <v>1.0983701320312498</v>
      </c>
      <c r="AB203" s="228"/>
      <c r="AC203" s="36" t="s">
        <v>24</v>
      </c>
      <c r="AD203" s="37" t="s">
        <v>23</v>
      </c>
      <c r="AE203" s="36" t="s">
        <v>25</v>
      </c>
      <c r="AF203" s="38">
        <v>0.03</v>
      </c>
      <c r="AG203" s="39">
        <f>AH198</f>
        <v>197.32123073684207</v>
      </c>
      <c r="AH203" s="39">
        <f>(AF203*AG203)</f>
        <v>5.919636922105262</v>
      </c>
      <c r="AJ203" s="36" t="s">
        <v>24</v>
      </c>
      <c r="AK203" s="37" t="s">
        <v>23</v>
      </c>
      <c r="AL203" s="36" t="s">
        <v>25</v>
      </c>
      <c r="AM203" s="38">
        <v>0.03</v>
      </c>
      <c r="AN203" s="39">
        <f>AO198</f>
        <v>62.485056399999991</v>
      </c>
      <c r="AO203" s="39">
        <f>(AM203*AN203)</f>
        <v>1.8745516919999996</v>
      </c>
    </row>
    <row r="204" spans="1:41" ht="15" customHeight="1" thickBot="1">
      <c r="A204" s="720" t="s">
        <v>26</v>
      </c>
      <c r="B204" s="721"/>
      <c r="C204" s="721"/>
      <c r="D204" s="721"/>
      <c r="E204" s="722"/>
      <c r="F204" s="40">
        <f>SUM(F203)</f>
        <v>1.8846029075067021</v>
      </c>
      <c r="H204" s="720" t="s">
        <v>26</v>
      </c>
      <c r="I204" s="721"/>
      <c r="J204" s="721"/>
      <c r="K204" s="721"/>
      <c r="L204" s="722"/>
      <c r="M204" s="40">
        <f>SUM(M203)</f>
        <v>0</v>
      </c>
      <c r="O204" s="720" t="s">
        <v>26</v>
      </c>
      <c r="P204" s="721"/>
      <c r="Q204" s="721"/>
      <c r="R204" s="721"/>
      <c r="S204" s="722"/>
      <c r="T204" s="40">
        <f>SUM(T203)</f>
        <v>0.49321654762322392</v>
      </c>
      <c r="U204" s="228"/>
      <c r="V204" s="720" t="s">
        <v>26</v>
      </c>
      <c r="W204" s="721"/>
      <c r="X204" s="721"/>
      <c r="Y204" s="721"/>
      <c r="Z204" s="722"/>
      <c r="AA204" s="40">
        <f>SUM(AA203)</f>
        <v>1.0983701320312498</v>
      </c>
      <c r="AB204" s="228"/>
      <c r="AC204" s="720" t="s">
        <v>26</v>
      </c>
      <c r="AD204" s="721"/>
      <c r="AE204" s="721"/>
      <c r="AF204" s="721"/>
      <c r="AG204" s="722"/>
      <c r="AH204" s="40">
        <f>SUM(AH203)</f>
        <v>5.919636922105262</v>
      </c>
      <c r="AJ204" s="720" t="s">
        <v>26</v>
      </c>
      <c r="AK204" s="721"/>
      <c r="AL204" s="721"/>
      <c r="AM204" s="721"/>
      <c r="AN204" s="722"/>
      <c r="AO204" s="40">
        <f>SUM(AO203)</f>
        <v>1.8745516919999996</v>
      </c>
    </row>
    <row r="205" spans="1:41" ht="15" customHeight="1" thickBot="1">
      <c r="A205" s="723" t="s">
        <v>27</v>
      </c>
      <c r="B205" s="724"/>
      <c r="C205" s="724"/>
      <c r="D205" s="724"/>
      <c r="E205" s="724"/>
      <c r="F205" s="725"/>
      <c r="H205" s="723" t="s">
        <v>27</v>
      </c>
      <c r="I205" s="724"/>
      <c r="J205" s="724"/>
      <c r="K205" s="724"/>
      <c r="L205" s="724"/>
      <c r="M205" s="725"/>
      <c r="O205" s="723" t="s">
        <v>27</v>
      </c>
      <c r="P205" s="724"/>
      <c r="Q205" s="724"/>
      <c r="R205" s="724"/>
      <c r="S205" s="724"/>
      <c r="T205" s="725"/>
      <c r="U205" s="228"/>
      <c r="V205" s="723" t="s">
        <v>27</v>
      </c>
      <c r="W205" s="724"/>
      <c r="X205" s="724"/>
      <c r="Y205" s="724"/>
      <c r="Z205" s="724"/>
      <c r="AA205" s="725"/>
      <c r="AB205" s="228"/>
      <c r="AC205" s="723" t="s">
        <v>27</v>
      </c>
      <c r="AD205" s="724"/>
      <c r="AE205" s="724"/>
      <c r="AF205" s="724"/>
      <c r="AG205" s="724"/>
      <c r="AH205" s="725"/>
      <c r="AJ205" s="723" t="s">
        <v>27</v>
      </c>
      <c r="AK205" s="724"/>
      <c r="AL205" s="724"/>
      <c r="AM205" s="724"/>
      <c r="AN205" s="724"/>
      <c r="AO205" s="725"/>
    </row>
    <row r="206" spans="1:41" ht="15" customHeight="1" thickBot="1">
      <c r="A206" s="8" t="s">
        <v>1</v>
      </c>
      <c r="B206" s="5" t="s">
        <v>2</v>
      </c>
      <c r="C206" s="8" t="s">
        <v>3</v>
      </c>
      <c r="D206" s="8" t="s">
        <v>9</v>
      </c>
      <c r="E206" s="8" t="s">
        <v>10</v>
      </c>
      <c r="F206" s="8" t="s">
        <v>11</v>
      </c>
      <c r="H206" s="8" t="s">
        <v>1</v>
      </c>
      <c r="I206" s="5" t="s">
        <v>2</v>
      </c>
      <c r="J206" s="8" t="s">
        <v>3</v>
      </c>
      <c r="K206" s="8" t="s">
        <v>9</v>
      </c>
      <c r="L206" s="8" t="s">
        <v>10</v>
      </c>
      <c r="M206" s="8" t="s">
        <v>11</v>
      </c>
      <c r="O206" s="8" t="s">
        <v>1</v>
      </c>
      <c r="P206" s="5" t="s">
        <v>2</v>
      </c>
      <c r="Q206" s="8" t="s">
        <v>3</v>
      </c>
      <c r="R206" s="8" t="s">
        <v>9</v>
      </c>
      <c r="S206" s="8" t="s">
        <v>10</v>
      </c>
      <c r="T206" s="8" t="s">
        <v>11</v>
      </c>
      <c r="U206" s="228"/>
      <c r="V206" s="8" t="s">
        <v>1</v>
      </c>
      <c r="W206" s="5" t="s">
        <v>2</v>
      </c>
      <c r="X206" s="8" t="s">
        <v>3</v>
      </c>
      <c r="Y206" s="8" t="s">
        <v>9</v>
      </c>
      <c r="Z206" s="8" t="s">
        <v>10</v>
      </c>
      <c r="AA206" s="8" t="s">
        <v>11</v>
      </c>
      <c r="AB206" s="228"/>
      <c r="AC206" s="8" t="s">
        <v>1</v>
      </c>
      <c r="AD206" s="5" t="s">
        <v>2</v>
      </c>
      <c r="AE206" s="8" t="s">
        <v>3</v>
      </c>
      <c r="AF206" s="8" t="s">
        <v>9</v>
      </c>
      <c r="AG206" s="8" t="s">
        <v>10</v>
      </c>
      <c r="AH206" s="8" t="s">
        <v>11</v>
      </c>
      <c r="AJ206" s="8" t="s">
        <v>1</v>
      </c>
      <c r="AK206" s="5" t="s">
        <v>2</v>
      </c>
      <c r="AL206" s="8" t="s">
        <v>3</v>
      </c>
      <c r="AM206" s="8" t="s">
        <v>9</v>
      </c>
      <c r="AN206" s="8" t="s">
        <v>10</v>
      </c>
      <c r="AO206" s="8" t="s">
        <v>11</v>
      </c>
    </row>
    <row r="207" spans="1:41" ht="15" customHeight="1" thickBot="1">
      <c r="A207" s="9" t="s">
        <v>28</v>
      </c>
      <c r="B207" s="10" t="s">
        <v>29</v>
      </c>
      <c r="C207" s="9" t="s">
        <v>25</v>
      </c>
      <c r="D207" s="11">
        <v>0.02</v>
      </c>
      <c r="E207" s="13">
        <f>F198</f>
        <v>62.820096916890073</v>
      </c>
      <c r="F207" s="13">
        <f>(D207*E207)</f>
        <v>1.2564019383378016</v>
      </c>
      <c r="H207" s="9"/>
      <c r="I207" s="10"/>
      <c r="J207" s="9"/>
      <c r="K207" s="11"/>
      <c r="L207" s="13"/>
      <c r="M207" s="13">
        <f>(K207*L207)</f>
        <v>0</v>
      </c>
      <c r="O207" s="9" t="s">
        <v>196</v>
      </c>
      <c r="P207" s="10" t="s">
        <v>29</v>
      </c>
      <c r="Q207" s="9" t="s">
        <v>25</v>
      </c>
      <c r="R207" s="11">
        <v>0.02</v>
      </c>
      <c r="S207" s="13">
        <f>T198</f>
        <v>16.440551587440797</v>
      </c>
      <c r="T207" s="13">
        <f>(R207*S207)</f>
        <v>0.32881103174881593</v>
      </c>
      <c r="U207" s="228"/>
      <c r="V207" s="9" t="s">
        <v>196</v>
      </c>
      <c r="W207" s="10" t="s">
        <v>29</v>
      </c>
      <c r="X207" s="9" t="s">
        <v>25</v>
      </c>
      <c r="Y207" s="11">
        <v>0.02</v>
      </c>
      <c r="Z207" s="13">
        <f>AA198</f>
        <v>36.612337734374997</v>
      </c>
      <c r="AA207" s="13">
        <f>(Y207*Z207)</f>
        <v>0.73224675468749989</v>
      </c>
      <c r="AB207" s="228"/>
      <c r="AC207" s="9" t="s">
        <v>196</v>
      </c>
      <c r="AD207" s="10" t="s">
        <v>29</v>
      </c>
      <c r="AE207" s="9" t="s">
        <v>25</v>
      </c>
      <c r="AF207" s="11">
        <v>0.02</v>
      </c>
      <c r="AG207" s="13">
        <f>AH198</f>
        <v>197.32123073684207</v>
      </c>
      <c r="AH207" s="13">
        <f>(AF207*AG207)</f>
        <v>3.9464246147368414</v>
      </c>
      <c r="AJ207" s="9" t="s">
        <v>196</v>
      </c>
      <c r="AK207" s="10" t="s">
        <v>29</v>
      </c>
      <c r="AL207" s="9" t="s">
        <v>25</v>
      </c>
      <c r="AM207" s="11">
        <v>0.02</v>
      </c>
      <c r="AN207" s="13">
        <f>AO198</f>
        <v>62.485056399999991</v>
      </c>
      <c r="AO207" s="13">
        <f>(AM207*AN207)</f>
        <v>1.2497011279999999</v>
      </c>
    </row>
    <row r="208" spans="1:41" ht="15" customHeight="1" thickBot="1">
      <c r="A208" s="470" t="s">
        <v>30</v>
      </c>
      <c r="B208" s="469" t="s">
        <v>1019</v>
      </c>
      <c r="C208" s="470" t="s">
        <v>1020</v>
      </c>
      <c r="D208" s="471">
        <f>1/26.03</f>
        <v>3.8417210910487894E-2</v>
      </c>
      <c r="E208" s="12">
        <f>'ANÁLISIS DE COSTO HORARIO'!C47</f>
        <v>970.04496680797718</v>
      </c>
      <c r="F208" s="13">
        <f>D208*E208</f>
        <v>37.266422082519284</v>
      </c>
      <c r="H208" s="23"/>
      <c r="I208" s="24"/>
      <c r="J208" s="23"/>
      <c r="K208" s="23"/>
      <c r="L208" s="25"/>
      <c r="M208" s="25"/>
      <c r="O208" s="23"/>
      <c r="P208" s="24"/>
      <c r="Q208" s="23"/>
      <c r="R208" s="23"/>
      <c r="S208" s="25"/>
      <c r="T208" s="25"/>
      <c r="U208" s="228"/>
      <c r="V208" s="23"/>
      <c r="W208" s="24"/>
      <c r="X208" s="23"/>
      <c r="Y208" s="23"/>
      <c r="Z208" s="25"/>
      <c r="AA208" s="25"/>
      <c r="AB208" s="228"/>
      <c r="AC208" s="23" t="s">
        <v>1115</v>
      </c>
      <c r="AD208" s="24" t="s">
        <v>1117</v>
      </c>
      <c r="AE208" s="492" t="s">
        <v>888</v>
      </c>
      <c r="AF208" s="511">
        <f>AF198</f>
        <v>0.21052631578947367</v>
      </c>
      <c r="AG208" s="25">
        <f>'ANÁLISIS DE COSTO HORARIO'!C191</f>
        <v>92.301105885780885</v>
      </c>
      <c r="AH208" s="25">
        <f>AF208*AG208</f>
        <v>19.431811765427554</v>
      </c>
      <c r="AJ208" s="23" t="s">
        <v>1115</v>
      </c>
      <c r="AK208" s="24" t="s">
        <v>1117</v>
      </c>
      <c r="AL208" s="492" t="s">
        <v>888</v>
      </c>
      <c r="AM208" s="511">
        <f>1/1.06</f>
        <v>0.94339622641509424</v>
      </c>
      <c r="AN208" s="25">
        <f>'ANÁLISIS DE COSTO HORARIO'!C191</f>
        <v>92.301105885780885</v>
      </c>
      <c r="AO208" s="25">
        <f>AM208*AN208</f>
        <v>87.076514986585735</v>
      </c>
    </row>
    <row r="209" spans="1:41" ht="15" customHeight="1" thickBot="1">
      <c r="A209" s="726" t="s">
        <v>34</v>
      </c>
      <c r="B209" s="727"/>
      <c r="C209" s="727"/>
      <c r="D209" s="727"/>
      <c r="E209" s="728"/>
      <c r="F209" s="41">
        <f>SUM(F207:F208)</f>
        <v>38.522824020857087</v>
      </c>
      <c r="H209" s="726" t="s">
        <v>34</v>
      </c>
      <c r="I209" s="727"/>
      <c r="J209" s="727"/>
      <c r="K209" s="727"/>
      <c r="L209" s="728"/>
      <c r="M209" s="41">
        <f>SUM(M207:M208)</f>
        <v>0</v>
      </c>
      <c r="O209" s="726" t="s">
        <v>34</v>
      </c>
      <c r="P209" s="727"/>
      <c r="Q209" s="727"/>
      <c r="R209" s="727"/>
      <c r="S209" s="728"/>
      <c r="T209" s="41">
        <f>SUM(T207:T208)</f>
        <v>0.32881103174881593</v>
      </c>
      <c r="U209" s="228"/>
      <c r="V209" s="726" t="s">
        <v>34</v>
      </c>
      <c r="W209" s="727"/>
      <c r="X209" s="727"/>
      <c r="Y209" s="727"/>
      <c r="Z209" s="728"/>
      <c r="AA209" s="41">
        <f>SUM(AA207:AA208)</f>
        <v>0.73224675468749989</v>
      </c>
      <c r="AB209" s="228"/>
      <c r="AC209" s="726" t="s">
        <v>34</v>
      </c>
      <c r="AD209" s="727"/>
      <c r="AE209" s="727"/>
      <c r="AF209" s="727"/>
      <c r="AG209" s="728"/>
      <c r="AH209" s="41">
        <f>SUM(AH207:AH208)</f>
        <v>23.378236380164395</v>
      </c>
      <c r="AJ209" s="726" t="s">
        <v>34</v>
      </c>
      <c r="AK209" s="727"/>
      <c r="AL209" s="727"/>
      <c r="AM209" s="727"/>
      <c r="AN209" s="728"/>
      <c r="AO209" s="41">
        <f>SUM(AO207:AO208)</f>
        <v>88.326216114585733</v>
      </c>
    </row>
    <row r="210" spans="1:41" ht="15" customHeight="1" thickBot="1">
      <c r="A210" s="729" t="s">
        <v>35</v>
      </c>
      <c r="B210" s="730"/>
      <c r="C210" s="730"/>
      <c r="D210" s="730"/>
      <c r="E210" s="730"/>
      <c r="F210" s="731"/>
      <c r="H210" s="729" t="s">
        <v>35</v>
      </c>
      <c r="I210" s="730"/>
      <c r="J210" s="730"/>
      <c r="K210" s="730"/>
      <c r="L210" s="730"/>
      <c r="M210" s="731"/>
      <c r="O210" s="729" t="s">
        <v>35</v>
      </c>
      <c r="P210" s="730"/>
      <c r="Q210" s="730"/>
      <c r="R210" s="730"/>
      <c r="S210" s="730"/>
      <c r="T210" s="731"/>
      <c r="U210" s="228"/>
      <c r="V210" s="729" t="s">
        <v>35</v>
      </c>
      <c r="W210" s="730"/>
      <c r="X210" s="730"/>
      <c r="Y210" s="730"/>
      <c r="Z210" s="730"/>
      <c r="AA210" s="731"/>
      <c r="AB210" s="228"/>
      <c r="AC210" s="729" t="s">
        <v>35</v>
      </c>
      <c r="AD210" s="730"/>
      <c r="AE210" s="730"/>
      <c r="AF210" s="730"/>
      <c r="AG210" s="730"/>
      <c r="AH210" s="731"/>
      <c r="AJ210" s="729" t="s">
        <v>35</v>
      </c>
      <c r="AK210" s="730"/>
      <c r="AL210" s="730"/>
      <c r="AM210" s="730"/>
      <c r="AN210" s="730"/>
      <c r="AO210" s="731"/>
    </row>
    <row r="211" spans="1:41" ht="15" customHeight="1" thickBot="1">
      <c r="A211" s="476" t="s">
        <v>1</v>
      </c>
      <c r="B211" s="477" t="s">
        <v>2</v>
      </c>
      <c r="C211" s="476" t="s">
        <v>3</v>
      </c>
      <c r="D211" s="476" t="s">
        <v>9</v>
      </c>
      <c r="E211" s="476" t="s">
        <v>10</v>
      </c>
      <c r="F211" s="476" t="s">
        <v>11</v>
      </c>
      <c r="H211" s="8" t="s">
        <v>1</v>
      </c>
      <c r="I211" s="5" t="s">
        <v>2</v>
      </c>
      <c r="J211" s="8" t="s">
        <v>3</v>
      </c>
      <c r="K211" s="8" t="s">
        <v>9</v>
      </c>
      <c r="L211" s="8" t="s">
        <v>10</v>
      </c>
      <c r="M211" s="8" t="s">
        <v>11</v>
      </c>
      <c r="O211" s="8" t="s">
        <v>1</v>
      </c>
      <c r="P211" s="5" t="s">
        <v>2</v>
      </c>
      <c r="Q211" s="8" t="s">
        <v>3</v>
      </c>
      <c r="R211" s="8" t="s">
        <v>9</v>
      </c>
      <c r="S211" s="8" t="s">
        <v>10</v>
      </c>
      <c r="T211" s="8" t="s">
        <v>11</v>
      </c>
      <c r="U211" s="228"/>
      <c r="V211" s="8" t="s">
        <v>1</v>
      </c>
      <c r="W211" s="5" t="s">
        <v>2</v>
      </c>
      <c r="X211" s="8" t="s">
        <v>3</v>
      </c>
      <c r="Y211" s="8" t="s">
        <v>9</v>
      </c>
      <c r="Z211" s="8" t="s">
        <v>10</v>
      </c>
      <c r="AA211" s="8" t="s">
        <v>11</v>
      </c>
      <c r="AB211" s="228"/>
      <c r="AC211" s="8" t="s">
        <v>1</v>
      </c>
      <c r="AD211" s="5" t="s">
        <v>2</v>
      </c>
      <c r="AE211" s="8" t="s">
        <v>3</v>
      </c>
      <c r="AF211" s="8" t="s">
        <v>9</v>
      </c>
      <c r="AG211" s="8" t="s">
        <v>10</v>
      </c>
      <c r="AH211" s="8" t="s">
        <v>11</v>
      </c>
      <c r="AJ211" s="8" t="s">
        <v>1</v>
      </c>
      <c r="AK211" s="5" t="s">
        <v>2</v>
      </c>
      <c r="AL211" s="8" t="s">
        <v>3</v>
      </c>
      <c r="AM211" s="8" t="s">
        <v>9</v>
      </c>
      <c r="AN211" s="8" t="s">
        <v>10</v>
      </c>
      <c r="AO211" s="8" t="s">
        <v>11</v>
      </c>
    </row>
    <row r="212" spans="1:41" ht="15" customHeight="1">
      <c r="A212" s="439"/>
      <c r="B212" s="439"/>
      <c r="C212" s="439"/>
      <c r="D212" s="439"/>
      <c r="E212" s="439"/>
      <c r="F212" s="439"/>
      <c r="H212" s="470" t="s">
        <v>30</v>
      </c>
      <c r="I212" s="469" t="s">
        <v>1019</v>
      </c>
      <c r="J212" s="470" t="s">
        <v>1022</v>
      </c>
      <c r="K212" s="471">
        <f>1/105.04</f>
        <v>9.5201827875095197E-3</v>
      </c>
      <c r="L212" s="12">
        <f>'ANÁLISIS DE COSTO HORARIO'!C47</f>
        <v>970.04496680797718</v>
      </c>
      <c r="M212" s="13">
        <f>K212*L212</f>
        <v>9.2350053961155485</v>
      </c>
      <c r="O212" s="470"/>
      <c r="P212" s="469"/>
      <c r="Q212" s="470"/>
      <c r="R212" s="471"/>
      <c r="S212" s="12"/>
      <c r="T212" s="13">
        <f>R212*S212</f>
        <v>0</v>
      </c>
      <c r="U212" s="228"/>
      <c r="V212" s="470"/>
      <c r="W212" s="469"/>
      <c r="X212" s="470"/>
      <c r="Y212" s="471"/>
      <c r="Z212" s="12"/>
      <c r="AA212" s="13">
        <f>Y212*Z212</f>
        <v>0</v>
      </c>
      <c r="AB212" s="228"/>
      <c r="AC212" s="470"/>
      <c r="AD212" s="469"/>
      <c r="AE212" s="470"/>
      <c r="AF212" s="471"/>
      <c r="AG212" s="12"/>
      <c r="AH212" s="13">
        <f>AF212*AG212</f>
        <v>0</v>
      </c>
      <c r="AJ212" s="470"/>
      <c r="AK212" s="469"/>
      <c r="AL212" s="470"/>
      <c r="AM212" s="471"/>
      <c r="AN212" s="12"/>
      <c r="AO212" s="13">
        <f>AM212*AN212</f>
        <v>0</v>
      </c>
    </row>
    <row r="213" spans="1:41" ht="15" customHeight="1">
      <c r="A213" s="478"/>
      <c r="B213" s="479"/>
      <c r="C213" s="478"/>
      <c r="D213" s="478"/>
      <c r="E213" s="480"/>
      <c r="F213" s="481"/>
      <c r="H213" s="42"/>
      <c r="I213" s="43"/>
      <c r="J213" s="42"/>
      <c r="K213" s="42"/>
      <c r="L213" s="44"/>
      <c r="M213" s="20"/>
      <c r="O213" s="42"/>
      <c r="P213" s="43"/>
      <c r="Q213" s="42"/>
      <c r="R213" s="42"/>
      <c r="S213" s="44"/>
      <c r="T213" s="20"/>
      <c r="U213" s="228"/>
      <c r="V213" s="42"/>
      <c r="W213" s="43"/>
      <c r="X213" s="42"/>
      <c r="Y213" s="42"/>
      <c r="Z213" s="44"/>
      <c r="AA213" s="20"/>
      <c r="AB213" s="228"/>
      <c r="AC213" s="42"/>
      <c r="AD213" s="43"/>
      <c r="AE213" s="42"/>
      <c r="AF213" s="42"/>
      <c r="AG213" s="44"/>
      <c r="AH213" s="20"/>
      <c r="AJ213" s="42"/>
      <c r="AK213" s="43"/>
      <c r="AL213" s="42"/>
      <c r="AM213" s="42"/>
      <c r="AN213" s="44"/>
      <c r="AO213" s="20"/>
    </row>
    <row r="214" spans="1:41" ht="15" customHeight="1" thickBot="1">
      <c r="A214" s="23"/>
      <c r="B214" s="24"/>
      <c r="C214" s="23"/>
      <c r="D214" s="23"/>
      <c r="E214" s="34"/>
      <c r="F214" s="25"/>
      <c r="H214" s="23"/>
      <c r="I214" s="24"/>
      <c r="J214" s="23"/>
      <c r="K214" s="23"/>
      <c r="L214" s="34"/>
      <c r="M214" s="25"/>
      <c r="O214" s="23"/>
      <c r="P214" s="24"/>
      <c r="Q214" s="23"/>
      <c r="R214" s="23"/>
      <c r="S214" s="34"/>
      <c r="T214" s="25"/>
      <c r="U214" s="228"/>
      <c r="V214" s="23"/>
      <c r="W214" s="24"/>
      <c r="X214" s="23"/>
      <c r="Y214" s="23"/>
      <c r="Z214" s="34"/>
      <c r="AA214" s="25"/>
      <c r="AB214" s="228"/>
      <c r="AC214" s="23"/>
      <c r="AD214" s="24"/>
      <c r="AE214" s="23"/>
      <c r="AF214" s="23"/>
      <c r="AG214" s="34"/>
      <c r="AH214" s="25"/>
      <c r="AJ214" s="23"/>
      <c r="AK214" s="24"/>
      <c r="AL214" s="23"/>
      <c r="AM214" s="23"/>
      <c r="AN214" s="34"/>
      <c r="AO214" s="25"/>
    </row>
    <row r="215" spans="1:41" ht="15" customHeight="1" thickBot="1">
      <c r="A215" s="732" t="s">
        <v>43</v>
      </c>
      <c r="B215" s="746"/>
      <c r="C215" s="746"/>
      <c r="D215" s="746"/>
      <c r="E215" s="747"/>
      <c r="F215" s="49">
        <f>SUM(F212:F214)</f>
        <v>0</v>
      </c>
      <c r="H215" s="732" t="s">
        <v>43</v>
      </c>
      <c r="I215" s="746"/>
      <c r="J215" s="746"/>
      <c r="K215" s="746"/>
      <c r="L215" s="747"/>
      <c r="M215" s="49">
        <f>SUM(M212:M214)</f>
        <v>9.2350053961155485</v>
      </c>
      <c r="O215" s="732" t="s">
        <v>43</v>
      </c>
      <c r="P215" s="746"/>
      <c r="Q215" s="746"/>
      <c r="R215" s="746"/>
      <c r="S215" s="747"/>
      <c r="T215" s="49">
        <f>SUM(T212:T214)</f>
        <v>0</v>
      </c>
      <c r="U215" s="228"/>
      <c r="V215" s="732" t="s">
        <v>43</v>
      </c>
      <c r="W215" s="746"/>
      <c r="X215" s="746"/>
      <c r="Y215" s="746"/>
      <c r="Z215" s="747"/>
      <c r="AA215" s="49">
        <f>SUM(AA212:AA214)</f>
        <v>0</v>
      </c>
      <c r="AB215" s="228"/>
      <c r="AC215" s="732" t="s">
        <v>43</v>
      </c>
      <c r="AD215" s="746"/>
      <c r="AE215" s="746"/>
      <c r="AF215" s="746"/>
      <c r="AG215" s="747"/>
      <c r="AH215" s="49">
        <f>SUM(AH212:AH214)</f>
        <v>0</v>
      </c>
      <c r="AJ215" s="732" t="s">
        <v>43</v>
      </c>
      <c r="AK215" s="746"/>
      <c r="AL215" s="746"/>
      <c r="AM215" s="746"/>
      <c r="AN215" s="747"/>
      <c r="AO215" s="49">
        <f>SUM(AO212:AO214)</f>
        <v>0</v>
      </c>
    </row>
    <row r="216" spans="1:41" ht="15" customHeight="1" thickBot="1">
      <c r="A216" s="50"/>
      <c r="B216" s="51"/>
      <c r="C216" s="52"/>
      <c r="D216" s="52"/>
      <c r="E216" s="52"/>
      <c r="F216" s="52"/>
      <c r="H216" s="50"/>
      <c r="I216" s="51"/>
      <c r="J216" s="52"/>
      <c r="K216" s="52"/>
      <c r="L216" s="52"/>
      <c r="M216" s="52"/>
      <c r="O216" s="50"/>
      <c r="P216" s="51"/>
      <c r="Q216" s="52"/>
      <c r="R216" s="52"/>
      <c r="S216" s="52"/>
      <c r="T216" s="52"/>
      <c r="U216" s="228"/>
      <c r="V216" s="50"/>
      <c r="W216" s="51"/>
      <c r="X216" s="52"/>
      <c r="Y216" s="52"/>
      <c r="Z216" s="52"/>
      <c r="AA216" s="52"/>
      <c r="AB216" s="228"/>
      <c r="AC216" s="50"/>
      <c r="AD216" s="51"/>
      <c r="AE216" s="52"/>
      <c r="AF216" s="52"/>
      <c r="AG216" s="52"/>
      <c r="AH216" s="52"/>
      <c r="AJ216" s="50"/>
      <c r="AK216" s="51"/>
      <c r="AL216" s="52"/>
      <c r="AM216" s="52"/>
      <c r="AN216" s="52"/>
      <c r="AO216" s="52"/>
    </row>
    <row r="217" spans="1:41" ht="15" customHeight="1" thickBot="1">
      <c r="A217" s="687" t="s">
        <v>44</v>
      </c>
      <c r="B217" s="748"/>
      <c r="C217" s="748"/>
      <c r="D217" s="748"/>
      <c r="E217" s="749"/>
      <c r="F217" s="54">
        <f>SUM(F215,F195,F200,F204,F209)</f>
        <v>103.22752384525386</v>
      </c>
      <c r="H217" s="687" t="s">
        <v>44</v>
      </c>
      <c r="I217" s="748"/>
      <c r="J217" s="748"/>
      <c r="K217" s="748"/>
      <c r="L217" s="749"/>
      <c r="M217" s="54">
        <f>SUM(M215,M195,M200,M204,M209)</f>
        <v>9.2350053961155485</v>
      </c>
      <c r="O217" s="687" t="s">
        <v>44</v>
      </c>
      <c r="P217" s="748"/>
      <c r="Q217" s="748"/>
      <c r="R217" s="748"/>
      <c r="S217" s="749"/>
      <c r="T217" s="54">
        <f>SUM(T215,T195,T200,T204,T209)</f>
        <v>17.262579166812838</v>
      </c>
      <c r="U217" s="228"/>
      <c r="V217" s="687" t="s">
        <v>44</v>
      </c>
      <c r="W217" s="748"/>
      <c r="X217" s="748"/>
      <c r="Y217" s="748"/>
      <c r="Z217" s="749"/>
      <c r="AA217" s="54">
        <f>SUM(AA215,AA195,AA200,AA204,AA209)</f>
        <v>38.442954621093747</v>
      </c>
      <c r="AB217" s="228"/>
      <c r="AC217" s="687" t="s">
        <v>44</v>
      </c>
      <c r="AD217" s="748"/>
      <c r="AE217" s="748"/>
      <c r="AF217" s="748"/>
      <c r="AG217" s="749"/>
      <c r="AH217" s="54">
        <f>SUM(AH215,AH195,AH200,AH204,AH209)</f>
        <v>226.61910403911173</v>
      </c>
      <c r="AJ217" s="687" t="s">
        <v>44</v>
      </c>
      <c r="AK217" s="748"/>
      <c r="AL217" s="748"/>
      <c r="AM217" s="748"/>
      <c r="AN217" s="749"/>
      <c r="AO217" s="54">
        <f>SUM(AO215,AO195,AO200,AO204,AO209)</f>
        <v>246.48082420658574</v>
      </c>
    </row>
    <row r="218" spans="1:41" ht="15" customHeight="1" thickBot="1">
      <c r="A218" s="687" t="s">
        <v>45</v>
      </c>
      <c r="B218" s="688"/>
      <c r="C218" s="688"/>
      <c r="D218" s="688"/>
      <c r="E218" s="55"/>
      <c r="F218" s="54"/>
      <c r="H218" s="687" t="s">
        <v>45</v>
      </c>
      <c r="I218" s="688"/>
      <c r="J218" s="688"/>
      <c r="K218" s="688"/>
      <c r="L218" s="55"/>
      <c r="M218" s="54"/>
      <c r="O218" s="687" t="s">
        <v>45</v>
      </c>
      <c r="P218" s="688"/>
      <c r="Q218" s="688"/>
      <c r="R218" s="688"/>
      <c r="S218" s="55"/>
      <c r="T218" s="54"/>
      <c r="U218" s="228"/>
      <c r="V218" s="687" t="s">
        <v>45</v>
      </c>
      <c r="W218" s="688"/>
      <c r="X218" s="688"/>
      <c r="Y218" s="688"/>
      <c r="Z218" s="55"/>
      <c r="AA218" s="54"/>
      <c r="AB218" s="228"/>
      <c r="AC218" s="687" t="s">
        <v>45</v>
      </c>
      <c r="AD218" s="688"/>
      <c r="AE218" s="688"/>
      <c r="AF218" s="688"/>
      <c r="AG218" s="55"/>
      <c r="AH218" s="54"/>
      <c r="AJ218" s="687" t="s">
        <v>45</v>
      </c>
      <c r="AK218" s="688"/>
      <c r="AL218" s="688"/>
      <c r="AM218" s="688"/>
      <c r="AN218" s="55"/>
      <c r="AO218" s="54"/>
    </row>
    <row r="219" spans="1:41" ht="15" customHeight="1" thickBot="1">
      <c r="A219" s="687" t="s">
        <v>46</v>
      </c>
      <c r="B219" s="688"/>
      <c r="C219" s="688"/>
      <c r="D219" s="688"/>
      <c r="E219" s="689"/>
      <c r="F219" s="54"/>
      <c r="H219" s="687" t="s">
        <v>46</v>
      </c>
      <c r="I219" s="688"/>
      <c r="J219" s="688"/>
      <c r="K219" s="688"/>
      <c r="L219" s="689"/>
      <c r="M219" s="54"/>
      <c r="O219" s="687" t="s">
        <v>46</v>
      </c>
      <c r="P219" s="688"/>
      <c r="Q219" s="688"/>
      <c r="R219" s="688"/>
      <c r="S219" s="689"/>
      <c r="T219" s="54"/>
      <c r="U219" s="228"/>
      <c r="V219" s="687" t="s">
        <v>46</v>
      </c>
      <c r="W219" s="688"/>
      <c r="X219" s="688"/>
      <c r="Y219" s="688"/>
      <c r="Z219" s="689"/>
      <c r="AA219" s="54"/>
      <c r="AB219" s="228"/>
      <c r="AC219" s="687" t="s">
        <v>46</v>
      </c>
      <c r="AD219" s="688"/>
      <c r="AE219" s="688"/>
      <c r="AF219" s="688"/>
      <c r="AG219" s="689"/>
      <c r="AH219" s="54"/>
      <c r="AJ219" s="687" t="s">
        <v>46</v>
      </c>
      <c r="AK219" s="688"/>
      <c r="AL219" s="688"/>
      <c r="AM219" s="688"/>
      <c r="AN219" s="689"/>
      <c r="AO219" s="54"/>
    </row>
    <row r="220" spans="1:41" ht="15" customHeight="1" thickBot="1">
      <c r="A220" s="687" t="s">
        <v>47</v>
      </c>
      <c r="B220" s="688"/>
      <c r="C220" s="688"/>
      <c r="D220" s="688"/>
      <c r="E220" s="56"/>
      <c r="F220" s="54"/>
      <c r="H220" s="687" t="s">
        <v>47</v>
      </c>
      <c r="I220" s="688"/>
      <c r="J220" s="688"/>
      <c r="K220" s="688"/>
      <c r="L220" s="56"/>
      <c r="M220" s="54"/>
      <c r="O220" s="687" t="s">
        <v>47</v>
      </c>
      <c r="P220" s="688"/>
      <c r="Q220" s="688"/>
      <c r="R220" s="688"/>
      <c r="S220" s="56"/>
      <c r="T220" s="54"/>
      <c r="U220" s="228"/>
      <c r="V220" s="687" t="s">
        <v>47</v>
      </c>
      <c r="W220" s="688"/>
      <c r="X220" s="688"/>
      <c r="Y220" s="688"/>
      <c r="Z220" s="56"/>
      <c r="AA220" s="54"/>
      <c r="AB220" s="228"/>
      <c r="AC220" s="687" t="s">
        <v>47</v>
      </c>
      <c r="AD220" s="688"/>
      <c r="AE220" s="688"/>
      <c r="AF220" s="688"/>
      <c r="AG220" s="56"/>
      <c r="AH220" s="54"/>
      <c r="AJ220" s="687" t="s">
        <v>47</v>
      </c>
      <c r="AK220" s="688"/>
      <c r="AL220" s="688"/>
      <c r="AM220" s="688"/>
      <c r="AN220" s="56"/>
      <c r="AO220" s="54"/>
    </row>
    <row r="221" spans="1:41" ht="15" customHeight="1" thickBot="1">
      <c r="A221" s="687" t="s">
        <v>46</v>
      </c>
      <c r="B221" s="688"/>
      <c r="C221" s="688"/>
      <c r="D221" s="688"/>
      <c r="E221" s="689"/>
      <c r="F221" s="54"/>
      <c r="H221" s="687" t="s">
        <v>46</v>
      </c>
      <c r="I221" s="688"/>
      <c r="J221" s="688"/>
      <c r="K221" s="688"/>
      <c r="L221" s="689"/>
      <c r="M221" s="54"/>
      <c r="O221" s="687" t="s">
        <v>46</v>
      </c>
      <c r="P221" s="688"/>
      <c r="Q221" s="688"/>
      <c r="R221" s="688"/>
      <c r="S221" s="689"/>
      <c r="T221" s="54"/>
      <c r="U221" s="228"/>
      <c r="V221" s="687" t="s">
        <v>46</v>
      </c>
      <c r="W221" s="688"/>
      <c r="X221" s="688"/>
      <c r="Y221" s="688"/>
      <c r="Z221" s="689"/>
      <c r="AA221" s="54"/>
      <c r="AB221" s="228"/>
      <c r="AC221" s="687" t="s">
        <v>46</v>
      </c>
      <c r="AD221" s="688"/>
      <c r="AE221" s="688"/>
      <c r="AF221" s="688"/>
      <c r="AG221" s="689"/>
      <c r="AH221" s="54"/>
      <c r="AJ221" s="687" t="s">
        <v>46</v>
      </c>
      <c r="AK221" s="688"/>
      <c r="AL221" s="688"/>
      <c r="AM221" s="688"/>
      <c r="AN221" s="689"/>
      <c r="AO221" s="54"/>
    </row>
    <row r="222" spans="1:41" ht="15" customHeight="1" thickBot="1">
      <c r="A222" s="687" t="s">
        <v>48</v>
      </c>
      <c r="B222" s="688"/>
      <c r="C222" s="688"/>
      <c r="D222" s="688"/>
      <c r="E222" s="55"/>
      <c r="F222" s="54"/>
      <c r="H222" s="687" t="s">
        <v>48</v>
      </c>
      <c r="I222" s="688"/>
      <c r="J222" s="688"/>
      <c r="K222" s="688"/>
      <c r="L222" s="55"/>
      <c r="M222" s="54"/>
      <c r="O222" s="687" t="s">
        <v>48</v>
      </c>
      <c r="P222" s="688"/>
      <c r="Q222" s="688"/>
      <c r="R222" s="688"/>
      <c r="S222" s="55"/>
      <c r="T222" s="54"/>
      <c r="U222" s="228"/>
      <c r="V222" s="687" t="s">
        <v>48</v>
      </c>
      <c r="W222" s="688"/>
      <c r="X222" s="688"/>
      <c r="Y222" s="688"/>
      <c r="Z222" s="55"/>
      <c r="AA222" s="54"/>
      <c r="AB222" s="228"/>
      <c r="AC222" s="687" t="s">
        <v>48</v>
      </c>
      <c r="AD222" s="688"/>
      <c r="AE222" s="688"/>
      <c r="AF222" s="688"/>
      <c r="AG222" s="55"/>
      <c r="AH222" s="54"/>
      <c r="AJ222" s="687" t="s">
        <v>48</v>
      </c>
      <c r="AK222" s="688"/>
      <c r="AL222" s="688"/>
      <c r="AM222" s="688"/>
      <c r="AN222" s="55"/>
      <c r="AO222" s="54"/>
    </row>
    <row r="223" spans="1:41" ht="15" customHeight="1" thickBot="1">
      <c r="A223" s="687" t="s">
        <v>46</v>
      </c>
      <c r="B223" s="688"/>
      <c r="C223" s="688"/>
      <c r="D223" s="688"/>
      <c r="E223" s="689"/>
      <c r="F223" s="54"/>
      <c r="H223" s="687" t="s">
        <v>46</v>
      </c>
      <c r="I223" s="688"/>
      <c r="J223" s="688"/>
      <c r="K223" s="688"/>
      <c r="L223" s="689"/>
      <c r="M223" s="54"/>
      <c r="O223" s="687" t="s">
        <v>46</v>
      </c>
      <c r="P223" s="688"/>
      <c r="Q223" s="688"/>
      <c r="R223" s="688"/>
      <c r="S223" s="689"/>
      <c r="T223" s="54"/>
      <c r="U223" s="228"/>
      <c r="V223" s="687" t="s">
        <v>46</v>
      </c>
      <c r="W223" s="688"/>
      <c r="X223" s="688"/>
      <c r="Y223" s="688"/>
      <c r="Z223" s="689"/>
      <c r="AA223" s="54"/>
      <c r="AB223" s="228"/>
      <c r="AC223" s="687" t="s">
        <v>46</v>
      </c>
      <c r="AD223" s="688"/>
      <c r="AE223" s="688"/>
      <c r="AF223" s="688"/>
      <c r="AG223" s="689"/>
      <c r="AH223" s="54"/>
      <c r="AJ223" s="687" t="s">
        <v>46</v>
      </c>
      <c r="AK223" s="688"/>
      <c r="AL223" s="688"/>
      <c r="AM223" s="688"/>
      <c r="AN223" s="689"/>
      <c r="AO223" s="54"/>
    </row>
    <row r="224" spans="1:41" ht="15" customHeight="1" thickBot="1">
      <c r="A224" s="687" t="s">
        <v>49</v>
      </c>
      <c r="B224" s="688"/>
      <c r="C224" s="688"/>
      <c r="D224" s="688"/>
      <c r="E224" s="56"/>
      <c r="F224" s="54"/>
      <c r="H224" s="687" t="s">
        <v>49</v>
      </c>
      <c r="I224" s="688"/>
      <c r="J224" s="688"/>
      <c r="K224" s="688"/>
      <c r="L224" s="56"/>
      <c r="M224" s="54"/>
      <c r="O224" s="687" t="s">
        <v>49</v>
      </c>
      <c r="P224" s="688"/>
      <c r="Q224" s="688"/>
      <c r="R224" s="688"/>
      <c r="S224" s="56"/>
      <c r="T224" s="54"/>
      <c r="U224" s="228"/>
      <c r="V224" s="687" t="s">
        <v>49</v>
      </c>
      <c r="W224" s="688"/>
      <c r="X224" s="688"/>
      <c r="Y224" s="688"/>
      <c r="Z224" s="56"/>
      <c r="AA224" s="54"/>
      <c r="AB224" s="228"/>
      <c r="AC224" s="687" t="s">
        <v>49</v>
      </c>
      <c r="AD224" s="688"/>
      <c r="AE224" s="688"/>
      <c r="AF224" s="688"/>
      <c r="AG224" s="56"/>
      <c r="AH224" s="54"/>
      <c r="AJ224" s="687" t="s">
        <v>49</v>
      </c>
      <c r="AK224" s="688"/>
      <c r="AL224" s="688"/>
      <c r="AM224" s="688"/>
      <c r="AN224" s="56"/>
      <c r="AO224" s="54"/>
    </row>
    <row r="225" spans="1:256" ht="15" customHeight="1" thickBot="1">
      <c r="A225" s="690" t="s">
        <v>50</v>
      </c>
      <c r="B225" s="691"/>
      <c r="C225" s="691"/>
      <c r="D225" s="691"/>
      <c r="E225" s="692"/>
      <c r="F225" s="57"/>
      <c r="H225" s="690" t="s">
        <v>50</v>
      </c>
      <c r="I225" s="691"/>
      <c r="J225" s="691"/>
      <c r="K225" s="691"/>
      <c r="L225" s="692"/>
      <c r="M225" s="57"/>
      <c r="O225" s="690" t="s">
        <v>50</v>
      </c>
      <c r="P225" s="691"/>
      <c r="Q225" s="691"/>
      <c r="R225" s="691"/>
      <c r="S225" s="692"/>
      <c r="T225" s="57"/>
      <c r="U225" s="228"/>
      <c r="V225" s="690" t="s">
        <v>50</v>
      </c>
      <c r="W225" s="691"/>
      <c r="X225" s="691"/>
      <c r="Y225" s="691"/>
      <c r="Z225" s="692"/>
      <c r="AA225" s="57"/>
      <c r="AB225" s="228"/>
      <c r="AC225" s="690" t="s">
        <v>50</v>
      </c>
      <c r="AD225" s="691"/>
      <c r="AE225" s="691"/>
      <c r="AF225" s="691"/>
      <c r="AG225" s="692"/>
      <c r="AH225" s="57"/>
      <c r="AJ225" s="690" t="s">
        <v>50</v>
      </c>
      <c r="AK225" s="691"/>
      <c r="AL225" s="691"/>
      <c r="AM225" s="691"/>
      <c r="AN225" s="692"/>
      <c r="AO225" s="57"/>
    </row>
    <row r="226" spans="1:256" ht="15" customHeight="1" thickBot="1">
      <c r="A226" s="693" t="s">
        <v>1407</v>
      </c>
      <c r="B226" s="694"/>
      <c r="C226" s="694"/>
      <c r="D226" s="694"/>
      <c r="E226" s="694"/>
      <c r="F226" s="695"/>
      <c r="H226" s="693" t="s">
        <v>1408</v>
      </c>
      <c r="I226" s="694"/>
      <c r="J226" s="694"/>
      <c r="K226" s="694"/>
      <c r="L226" s="694"/>
      <c r="M226" s="695"/>
      <c r="O226" s="693" t="s">
        <v>1409</v>
      </c>
      <c r="P226" s="694"/>
      <c r="Q226" s="694"/>
      <c r="R226" s="694"/>
      <c r="S226" s="694"/>
      <c r="T226" s="695"/>
      <c r="U226" s="228"/>
      <c r="V226" s="693" t="s">
        <v>1410</v>
      </c>
      <c r="W226" s="694"/>
      <c r="X226" s="694"/>
      <c r="Y226" s="694"/>
      <c r="Z226" s="694"/>
      <c r="AA226" s="695"/>
      <c r="AB226" s="228"/>
      <c r="AC226" s="693" t="s">
        <v>1411</v>
      </c>
      <c r="AD226" s="694"/>
      <c r="AE226" s="694"/>
      <c r="AF226" s="694"/>
      <c r="AG226" s="694"/>
      <c r="AH226" s="695"/>
      <c r="AJ226" s="693" t="s">
        <v>1412</v>
      </c>
      <c r="AK226" s="694"/>
      <c r="AL226" s="694"/>
      <c r="AM226" s="694"/>
      <c r="AN226" s="694"/>
      <c r="AO226" s="695"/>
    </row>
    <row r="227" spans="1:256" ht="15" customHeight="1" thickBot="1"/>
    <row r="228" spans="1:256" ht="26.4" thickBot="1">
      <c r="A228" s="696" t="s">
        <v>0</v>
      </c>
      <c r="B228" s="697"/>
      <c r="C228" s="697"/>
      <c r="D228" s="697"/>
      <c r="E228" s="697"/>
      <c r="F228" s="698"/>
      <c r="H228" s="696" t="s">
        <v>0</v>
      </c>
      <c r="I228" s="697"/>
      <c r="J228" s="697"/>
      <c r="K228" s="697"/>
      <c r="L228" s="697"/>
      <c r="M228" s="698"/>
    </row>
    <row r="229" spans="1:256" ht="15" customHeight="1" thickBot="1">
      <c r="A229" s="3" t="s">
        <v>1</v>
      </c>
      <c r="B229" s="693" t="s">
        <v>2</v>
      </c>
      <c r="C229" s="694"/>
      <c r="D229" s="694"/>
      <c r="E229" s="695"/>
      <c r="F229" s="3" t="s">
        <v>3</v>
      </c>
      <c r="H229" s="3" t="s">
        <v>1</v>
      </c>
      <c r="I229" s="693" t="s">
        <v>2</v>
      </c>
      <c r="J229" s="694"/>
      <c r="K229" s="694"/>
      <c r="L229" s="695"/>
      <c r="M229" s="3" t="s">
        <v>3</v>
      </c>
    </row>
    <row r="230" spans="1:256" ht="116.25" customHeight="1" thickBot="1">
      <c r="A230" s="5" t="s">
        <v>1033</v>
      </c>
      <c r="B230" s="743" t="s">
        <v>1110</v>
      </c>
      <c r="C230" s="744"/>
      <c r="D230" s="744"/>
      <c r="E230" s="745"/>
      <c r="F230" s="5" t="s">
        <v>1032</v>
      </c>
      <c r="H230" s="5" t="s">
        <v>1062</v>
      </c>
      <c r="I230" s="743" t="s">
        <v>1111</v>
      </c>
      <c r="J230" s="744"/>
      <c r="K230" s="744"/>
      <c r="L230" s="745"/>
      <c r="M230" s="5" t="s">
        <v>1032</v>
      </c>
    </row>
    <row r="231" spans="1:256" ht="15" customHeight="1" thickBot="1">
      <c r="A231" s="705" t="s">
        <v>8</v>
      </c>
      <c r="B231" s="706"/>
      <c r="C231" s="706"/>
      <c r="D231" s="706"/>
      <c r="E231" s="706"/>
      <c r="F231" s="707"/>
      <c r="H231" s="705" t="s">
        <v>8</v>
      </c>
      <c r="I231" s="706"/>
      <c r="J231" s="706"/>
      <c r="K231" s="706"/>
      <c r="L231" s="706"/>
      <c r="M231" s="707"/>
    </row>
    <row r="232" spans="1:256" ht="15" customHeight="1" thickBot="1">
      <c r="A232" s="8" t="s">
        <v>1</v>
      </c>
      <c r="B232" s="5" t="s">
        <v>2</v>
      </c>
      <c r="C232" s="8" t="s">
        <v>3</v>
      </c>
      <c r="D232" s="8" t="s">
        <v>9</v>
      </c>
      <c r="E232" s="8" t="s">
        <v>10</v>
      </c>
      <c r="F232" s="8" t="s">
        <v>11</v>
      </c>
      <c r="H232" s="8" t="s">
        <v>1</v>
      </c>
      <c r="I232" s="5" t="s">
        <v>2</v>
      </c>
      <c r="J232" s="8" t="s">
        <v>3</v>
      </c>
      <c r="K232" s="8" t="s">
        <v>9</v>
      </c>
      <c r="L232" s="8" t="s">
        <v>10</v>
      </c>
      <c r="M232" s="8" t="s">
        <v>11</v>
      </c>
    </row>
    <row r="233" spans="1:256" ht="15" customHeight="1">
      <c r="A233" s="463" t="s">
        <v>1050</v>
      </c>
      <c r="B233" s="459" t="s">
        <v>1034</v>
      </c>
      <c r="C233" s="9" t="s">
        <v>833</v>
      </c>
      <c r="D233" s="11">
        <f>(0.15+0.85+0.4+0.9+1.5)*1.05</f>
        <v>3.9899999999999998</v>
      </c>
      <c r="E233" s="12">
        <f>MATERIALES!E199</f>
        <v>381</v>
      </c>
      <c r="F233" s="20">
        <f t="shared" ref="F233:F234" si="1">D233*E233</f>
        <v>1520.1899999999998</v>
      </c>
      <c r="H233" s="463" t="s">
        <v>1050</v>
      </c>
      <c r="I233" s="459" t="s">
        <v>1034</v>
      </c>
      <c r="J233" s="9" t="s">
        <v>833</v>
      </c>
      <c r="K233" s="11">
        <f>(0.25+0.12)*1.05</f>
        <v>0.38850000000000001</v>
      </c>
      <c r="L233" s="12">
        <f>MATERIALES!E199</f>
        <v>381</v>
      </c>
      <c r="M233" s="20">
        <f t="shared" ref="M233:M234" si="2">K233*L233</f>
        <v>148.01850000000002</v>
      </c>
    </row>
    <row r="234" spans="1:256" ht="15" customHeight="1">
      <c r="A234" s="466" t="s">
        <v>1051</v>
      </c>
      <c r="B234" s="460" t="s">
        <v>1035</v>
      </c>
      <c r="C234" s="16" t="s">
        <v>64</v>
      </c>
      <c r="D234" s="18">
        <v>7</v>
      </c>
      <c r="E234" s="20">
        <f>MATERIALES!E200</f>
        <v>18.36</v>
      </c>
      <c r="F234" s="20">
        <f t="shared" si="1"/>
        <v>128.51999999999998</v>
      </c>
      <c r="H234" s="466" t="s">
        <v>1051</v>
      </c>
      <c r="I234" s="460" t="s">
        <v>1035</v>
      </c>
      <c r="J234" s="16" t="s">
        <v>64</v>
      </c>
      <c r="K234" s="18">
        <f>1*1.05</f>
        <v>1.05</v>
      </c>
      <c r="L234" s="20">
        <f>MATERIALES!E200</f>
        <v>18.36</v>
      </c>
      <c r="M234" s="20">
        <f t="shared" si="2"/>
        <v>19.277999999999999</v>
      </c>
    </row>
    <row r="235" spans="1:256" ht="15" customHeight="1">
      <c r="A235" s="466" t="s">
        <v>348</v>
      </c>
      <c r="B235" s="460" t="s">
        <v>1036</v>
      </c>
      <c r="C235" s="16" t="s">
        <v>64</v>
      </c>
      <c r="D235" s="18">
        <f>(1/100)</f>
        <v>0.01</v>
      </c>
      <c r="E235" s="20">
        <f>MATERIALES!E24</f>
        <v>89</v>
      </c>
      <c r="F235" s="20">
        <f>D235*E235</f>
        <v>0.89</v>
      </c>
      <c r="H235" s="466" t="s">
        <v>348</v>
      </c>
      <c r="I235" s="460" t="s">
        <v>1036</v>
      </c>
      <c r="J235" s="16" t="s">
        <v>64</v>
      </c>
      <c r="K235" s="18">
        <f>(1/100)*1.05</f>
        <v>1.0500000000000001E-2</v>
      </c>
      <c r="L235" s="20">
        <f>MATERIALES!E198</f>
        <v>89</v>
      </c>
      <c r="M235" s="20">
        <f>K235*L235</f>
        <v>0.93450000000000011</v>
      </c>
    </row>
    <row r="236" spans="1:256" ht="15" customHeight="1">
      <c r="A236" s="462" t="s">
        <v>1044</v>
      </c>
      <c r="B236" s="461" t="s">
        <v>1040</v>
      </c>
      <c r="C236" s="21" t="s">
        <v>1037</v>
      </c>
      <c r="D236" s="21">
        <f>(2/100)*1.05</f>
        <v>2.1000000000000001E-2</v>
      </c>
      <c r="E236" s="20">
        <f>MATERIALES!E47</f>
        <v>21.12</v>
      </c>
      <c r="F236" s="20">
        <f t="shared" ref="F236:F240" si="3">D236*E236</f>
        <v>0.44352000000000003</v>
      </c>
      <c r="H236" s="462" t="s">
        <v>1044</v>
      </c>
      <c r="I236" s="461" t="s">
        <v>1040</v>
      </c>
      <c r="J236" s="21" t="s">
        <v>1037</v>
      </c>
      <c r="K236" s="21">
        <f>(OPERACIONES!C6)*1.05</f>
        <v>5.2500000000000003E-3</v>
      </c>
      <c r="L236" s="20">
        <f>MATERIALES!E47</f>
        <v>21.12</v>
      </c>
      <c r="M236" s="20">
        <f t="shared" ref="M236:M240" si="4">K236*L236</f>
        <v>0.11088000000000001</v>
      </c>
    </row>
    <row r="237" spans="1:256" ht="15" customHeight="1">
      <c r="A237" s="462" t="s">
        <v>317</v>
      </c>
      <c r="B237" s="461" t="s">
        <v>1038</v>
      </c>
      <c r="C237" s="462" t="s">
        <v>64</v>
      </c>
      <c r="D237" s="30">
        <f>(16/454)*1.05</f>
        <v>3.700440528634362E-2</v>
      </c>
      <c r="E237" s="20">
        <f>MATERIALES!E201</f>
        <v>240.52</v>
      </c>
      <c r="F237" s="20">
        <f t="shared" si="3"/>
        <v>8.9002995594713674</v>
      </c>
      <c r="H237" s="462" t="s">
        <v>317</v>
      </c>
      <c r="I237" s="461" t="s">
        <v>1038</v>
      </c>
      <c r="J237" s="462" t="s">
        <v>64</v>
      </c>
      <c r="K237" s="494">
        <f>(OPERACIONES!C7)*1.05</f>
        <v>9.2511013215859049E-3</v>
      </c>
      <c r="L237" s="20">
        <f>MATERIALES!E201</f>
        <v>240.52</v>
      </c>
      <c r="M237" s="20">
        <f t="shared" si="4"/>
        <v>2.2250748898678419</v>
      </c>
    </row>
    <row r="238" spans="1:256" ht="15" customHeight="1">
      <c r="A238" s="462" t="s">
        <v>597</v>
      </c>
      <c r="B238" s="461" t="s">
        <v>1039</v>
      </c>
      <c r="C238" s="462" t="s">
        <v>64</v>
      </c>
      <c r="D238" s="21">
        <f>(1/100)*1.05</f>
        <v>1.0500000000000001E-2</v>
      </c>
      <c r="E238" s="20">
        <f>MATERIALES!E122</f>
        <v>9.91</v>
      </c>
      <c r="F238" s="20">
        <f t="shared" si="3"/>
        <v>0.10405500000000001</v>
      </c>
      <c r="H238" s="462" t="s">
        <v>597</v>
      </c>
      <c r="I238" s="461" t="s">
        <v>1039</v>
      </c>
      <c r="J238" s="462" t="s">
        <v>64</v>
      </c>
      <c r="K238" s="21">
        <f>(1/100)*1.05</f>
        <v>1.0500000000000001E-2</v>
      </c>
      <c r="L238" s="20">
        <f>MATERIALES!E122</f>
        <v>9.91</v>
      </c>
      <c r="M238" s="20">
        <f t="shared" si="4"/>
        <v>0.10405500000000001</v>
      </c>
    </row>
    <row r="239" spans="1:256" ht="15" customHeight="1">
      <c r="A239" s="482" t="s">
        <v>328</v>
      </c>
      <c r="B239" s="483" t="s">
        <v>1041</v>
      </c>
      <c r="C239" s="482" t="s">
        <v>39</v>
      </c>
      <c r="D239" s="484">
        <f>(100/1000)*1.05</f>
        <v>0.10500000000000001</v>
      </c>
      <c r="E239" s="485">
        <f>MATERIALES!E16</f>
        <v>47.41</v>
      </c>
      <c r="F239" s="20">
        <f t="shared" si="3"/>
        <v>4.9780500000000005</v>
      </c>
      <c r="G239" s="228"/>
      <c r="H239" s="482" t="s">
        <v>328</v>
      </c>
      <c r="I239" s="483" t="s">
        <v>1041</v>
      </c>
      <c r="J239" s="482" t="s">
        <v>39</v>
      </c>
      <c r="K239" s="484">
        <f>(100/1000)*1.05</f>
        <v>0.10500000000000001</v>
      </c>
      <c r="L239" s="485">
        <f>MATERIALES!E16</f>
        <v>47.41</v>
      </c>
      <c r="M239" s="20">
        <f t="shared" si="4"/>
        <v>4.9780500000000005</v>
      </c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  <c r="AA239" s="228"/>
      <c r="AB239" s="228"/>
      <c r="AC239" s="228"/>
      <c r="AD239" s="228"/>
      <c r="AE239" s="228"/>
      <c r="AF239" s="228"/>
      <c r="AG239" s="228"/>
      <c r="AH239" s="228"/>
      <c r="AI239" s="228"/>
      <c r="AJ239" s="228"/>
      <c r="AK239" s="228"/>
      <c r="AL239" s="228"/>
      <c r="AM239" s="228"/>
      <c r="AN239" s="228"/>
      <c r="AO239" s="228"/>
      <c r="AP239" s="228"/>
      <c r="AQ239" s="228"/>
      <c r="AR239" s="228"/>
      <c r="AS239" s="228"/>
      <c r="AT239" s="228"/>
      <c r="AU239" s="228"/>
      <c r="AV239" s="228"/>
      <c r="AW239" s="228"/>
      <c r="AX239" s="228"/>
      <c r="AY239" s="228"/>
      <c r="AZ239" s="228"/>
      <c r="BA239" s="228"/>
      <c r="BB239" s="228"/>
      <c r="BC239" s="228"/>
      <c r="BD239" s="228"/>
      <c r="BE239" s="228"/>
      <c r="BF239" s="228"/>
      <c r="BG239" s="228"/>
      <c r="BH239" s="228"/>
      <c r="BI239" s="228"/>
      <c r="BJ239" s="228"/>
      <c r="BK239" s="228"/>
      <c r="BL239" s="228"/>
      <c r="BM239" s="228"/>
      <c r="BN239" s="228"/>
      <c r="BO239" s="228"/>
      <c r="BP239" s="228"/>
      <c r="BQ239" s="228"/>
      <c r="BR239" s="228"/>
      <c r="BS239" s="228"/>
      <c r="BT239" s="228"/>
      <c r="BU239" s="228"/>
      <c r="BV239" s="228"/>
      <c r="BW239" s="228"/>
      <c r="BX239" s="228"/>
      <c r="BY239" s="228"/>
      <c r="BZ239" s="228"/>
      <c r="CA239" s="228"/>
      <c r="CB239" s="228"/>
      <c r="CC239" s="228"/>
      <c r="CD239" s="228"/>
      <c r="CE239" s="228"/>
      <c r="CF239" s="228"/>
      <c r="CG239" s="228"/>
      <c r="CH239" s="228"/>
      <c r="CI239" s="228"/>
      <c r="CJ239" s="228"/>
      <c r="CK239" s="228"/>
      <c r="CL239" s="228"/>
      <c r="CM239" s="228"/>
      <c r="CN239" s="228"/>
      <c r="CO239" s="228"/>
      <c r="CP239" s="228"/>
      <c r="CQ239" s="228"/>
      <c r="CR239" s="228"/>
      <c r="CS239" s="228"/>
      <c r="CT239" s="228"/>
      <c r="CU239" s="228"/>
      <c r="CV239" s="228"/>
      <c r="CW239" s="228"/>
      <c r="CX239" s="228"/>
      <c r="CY239" s="228"/>
      <c r="CZ239" s="228"/>
      <c r="DA239" s="228"/>
      <c r="DB239" s="228"/>
      <c r="DC239" s="228"/>
      <c r="DD239" s="228"/>
      <c r="DE239" s="228"/>
      <c r="DF239" s="228"/>
      <c r="DG239" s="228"/>
      <c r="DH239" s="228"/>
      <c r="DI239" s="228"/>
      <c r="DJ239" s="228"/>
      <c r="DK239" s="228"/>
      <c r="DL239" s="228"/>
      <c r="DM239" s="228"/>
      <c r="DN239" s="228"/>
      <c r="DO239" s="228"/>
      <c r="DP239" s="228"/>
      <c r="DQ239" s="228"/>
      <c r="DR239" s="228"/>
      <c r="DS239" s="228"/>
      <c r="DT239" s="228"/>
      <c r="DU239" s="228"/>
      <c r="DV239" s="228"/>
      <c r="DW239" s="228"/>
      <c r="DX239" s="228"/>
      <c r="DY239" s="228"/>
      <c r="DZ239" s="228"/>
      <c r="EA239" s="228"/>
      <c r="EB239" s="228"/>
      <c r="EC239" s="228"/>
      <c r="ED239" s="228"/>
      <c r="EE239" s="228"/>
      <c r="EF239" s="228"/>
      <c r="EG239" s="228"/>
      <c r="EH239" s="228"/>
      <c r="EI239" s="228"/>
      <c r="EJ239" s="228"/>
      <c r="EK239" s="228"/>
      <c r="EL239" s="228"/>
      <c r="EM239" s="228"/>
      <c r="EN239" s="228"/>
      <c r="EO239" s="228"/>
      <c r="EP239" s="228"/>
      <c r="EQ239" s="228"/>
      <c r="ER239" s="228"/>
      <c r="ES239" s="228"/>
      <c r="ET239" s="228"/>
      <c r="EU239" s="228"/>
      <c r="EV239" s="228"/>
      <c r="EW239" s="228"/>
      <c r="EX239" s="228"/>
      <c r="EY239" s="228"/>
      <c r="EZ239" s="228"/>
      <c r="FA239" s="228"/>
      <c r="FB239" s="228"/>
      <c r="FC239" s="228"/>
      <c r="FD239" s="228"/>
      <c r="FE239" s="228"/>
      <c r="FF239" s="228"/>
      <c r="FG239" s="228"/>
      <c r="FH239" s="228"/>
      <c r="FI239" s="228"/>
      <c r="FJ239" s="228"/>
      <c r="FK239" s="228"/>
      <c r="FL239" s="228"/>
      <c r="FM239" s="228"/>
      <c r="FN239" s="228"/>
      <c r="FO239" s="228"/>
      <c r="FP239" s="228"/>
      <c r="FQ239" s="228"/>
      <c r="FR239" s="228"/>
      <c r="FS239" s="228"/>
      <c r="FT239" s="228"/>
      <c r="FU239" s="228"/>
      <c r="FV239" s="228"/>
      <c r="FW239" s="228"/>
      <c r="FX239" s="228"/>
      <c r="FY239" s="228"/>
      <c r="FZ239" s="228"/>
      <c r="GA239" s="228"/>
      <c r="GB239" s="228"/>
      <c r="GC239" s="228"/>
      <c r="GD239" s="228"/>
      <c r="GE239" s="228"/>
      <c r="GF239" s="228"/>
      <c r="GG239" s="228"/>
      <c r="GH239" s="228"/>
      <c r="GI239" s="228"/>
      <c r="GJ239" s="228"/>
      <c r="GK239" s="228"/>
      <c r="GL239" s="228"/>
      <c r="GM239" s="228"/>
      <c r="GN239" s="228"/>
      <c r="GO239" s="228"/>
      <c r="GP239" s="228"/>
      <c r="GQ239" s="228"/>
      <c r="GR239" s="228"/>
      <c r="GS239" s="228"/>
      <c r="GT239" s="228"/>
      <c r="GU239" s="228"/>
      <c r="GV239" s="228"/>
      <c r="GW239" s="228"/>
      <c r="GX239" s="228"/>
      <c r="GY239" s="228"/>
      <c r="GZ239" s="228"/>
      <c r="HA239" s="228"/>
      <c r="HB239" s="228"/>
      <c r="HC239" s="228"/>
      <c r="HD239" s="228"/>
      <c r="HE239" s="228"/>
      <c r="HF239" s="228"/>
      <c r="HG239" s="228"/>
      <c r="HH239" s="228"/>
      <c r="HI239" s="228"/>
      <c r="HJ239" s="228"/>
      <c r="HK239" s="228"/>
      <c r="HL239" s="228"/>
      <c r="HM239" s="228"/>
      <c r="HN239" s="228"/>
      <c r="HO239" s="228"/>
      <c r="HP239" s="228"/>
      <c r="HQ239" s="228"/>
      <c r="HR239" s="228"/>
      <c r="HS239" s="228"/>
      <c r="HT239" s="228"/>
      <c r="HU239" s="228"/>
      <c r="HV239" s="228"/>
      <c r="HW239" s="228"/>
      <c r="HX239" s="228"/>
      <c r="HY239" s="228"/>
      <c r="HZ239" s="228"/>
      <c r="IA239" s="228"/>
      <c r="IB239" s="228"/>
      <c r="IC239" s="228"/>
      <c r="ID239" s="228"/>
      <c r="IE239" s="228"/>
      <c r="IF239" s="228"/>
      <c r="IG239" s="228"/>
      <c r="IH239" s="228"/>
      <c r="II239" s="228"/>
      <c r="IJ239" s="228"/>
      <c r="IK239" s="228"/>
      <c r="IL239" s="228"/>
      <c r="IM239" s="228"/>
      <c r="IN239" s="228"/>
      <c r="IO239" s="228"/>
      <c r="IP239" s="228"/>
      <c r="IQ239" s="228"/>
      <c r="IR239" s="228"/>
      <c r="IS239" s="228"/>
      <c r="IT239" s="228"/>
      <c r="IU239" s="228"/>
      <c r="IV239" s="228"/>
    </row>
    <row r="240" spans="1:256" ht="15" customHeight="1">
      <c r="A240" s="488" t="s">
        <v>1092</v>
      </c>
      <c r="B240" s="483" t="s">
        <v>1042</v>
      </c>
      <c r="C240" s="482" t="s">
        <v>1043</v>
      </c>
      <c r="D240" s="484">
        <f>((8*1)/100)*1.05</f>
        <v>8.4000000000000005E-2</v>
      </c>
      <c r="E240" s="485">
        <f>MATERIALES!E206</f>
        <v>58</v>
      </c>
      <c r="F240" s="20">
        <f t="shared" si="3"/>
        <v>4.8719999999999999</v>
      </c>
      <c r="G240" s="228"/>
      <c r="H240" s="488" t="s">
        <v>1092</v>
      </c>
      <c r="I240" s="483" t="s">
        <v>1042</v>
      </c>
      <c r="J240" s="482" t="s">
        <v>1043</v>
      </c>
      <c r="K240" s="500">
        <f>(OPERACIONES!C8)*1.05</f>
        <v>2.1000000000000001E-2</v>
      </c>
      <c r="L240" s="485">
        <f>MATERIALES!E206</f>
        <v>58</v>
      </c>
      <c r="M240" s="20">
        <f t="shared" si="4"/>
        <v>1.218</v>
      </c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  <c r="AA240" s="228"/>
      <c r="AB240" s="228"/>
      <c r="AC240" s="228"/>
      <c r="AD240" s="228"/>
      <c r="AE240" s="228"/>
      <c r="AF240" s="228"/>
      <c r="AG240" s="228"/>
      <c r="AH240" s="228"/>
      <c r="AI240" s="228"/>
      <c r="AJ240" s="228"/>
      <c r="AK240" s="228"/>
      <c r="AL240" s="228"/>
      <c r="AM240" s="228"/>
      <c r="AN240" s="228"/>
      <c r="AO240" s="228"/>
      <c r="AP240" s="228"/>
      <c r="AQ240" s="228"/>
      <c r="AR240" s="228"/>
      <c r="AS240" s="228"/>
      <c r="AT240" s="228"/>
      <c r="AU240" s="228"/>
      <c r="AV240" s="228"/>
      <c r="AW240" s="228"/>
      <c r="AX240" s="228"/>
      <c r="AY240" s="228"/>
      <c r="AZ240" s="228"/>
      <c r="BA240" s="228"/>
      <c r="BB240" s="228"/>
      <c r="BC240" s="228"/>
      <c r="BD240" s="228"/>
      <c r="BE240" s="228"/>
      <c r="BF240" s="228"/>
      <c r="BG240" s="228"/>
      <c r="BH240" s="228"/>
      <c r="BI240" s="228"/>
      <c r="BJ240" s="228"/>
      <c r="BK240" s="228"/>
      <c r="BL240" s="228"/>
      <c r="BM240" s="228"/>
      <c r="BN240" s="228"/>
      <c r="BO240" s="228"/>
      <c r="BP240" s="228"/>
      <c r="BQ240" s="228"/>
      <c r="BR240" s="228"/>
      <c r="BS240" s="228"/>
      <c r="BT240" s="228"/>
      <c r="BU240" s="228"/>
      <c r="BV240" s="228"/>
      <c r="BW240" s="228"/>
      <c r="BX240" s="228"/>
      <c r="BY240" s="228"/>
      <c r="BZ240" s="228"/>
      <c r="CA240" s="228"/>
      <c r="CB240" s="228"/>
      <c r="CC240" s="228"/>
      <c r="CD240" s="228"/>
      <c r="CE240" s="228"/>
      <c r="CF240" s="228"/>
      <c r="CG240" s="228"/>
      <c r="CH240" s="228"/>
      <c r="CI240" s="228"/>
      <c r="CJ240" s="228"/>
      <c r="CK240" s="228"/>
      <c r="CL240" s="228"/>
      <c r="CM240" s="228"/>
      <c r="CN240" s="228"/>
      <c r="CO240" s="228"/>
      <c r="CP240" s="228"/>
      <c r="CQ240" s="228"/>
      <c r="CR240" s="228"/>
      <c r="CS240" s="228"/>
      <c r="CT240" s="228"/>
      <c r="CU240" s="228"/>
      <c r="CV240" s="228"/>
      <c r="CW240" s="228"/>
      <c r="CX240" s="228"/>
      <c r="CY240" s="228"/>
      <c r="CZ240" s="228"/>
      <c r="DA240" s="228"/>
      <c r="DB240" s="228"/>
      <c r="DC240" s="228"/>
      <c r="DD240" s="228"/>
      <c r="DE240" s="228"/>
      <c r="DF240" s="228"/>
      <c r="DG240" s="228"/>
      <c r="DH240" s="228"/>
      <c r="DI240" s="228"/>
      <c r="DJ240" s="228"/>
      <c r="DK240" s="228"/>
      <c r="DL240" s="228"/>
      <c r="DM240" s="228"/>
      <c r="DN240" s="228"/>
      <c r="DO240" s="228"/>
      <c r="DP240" s="228"/>
      <c r="DQ240" s="228"/>
      <c r="DR240" s="228"/>
      <c r="DS240" s="228"/>
      <c r="DT240" s="228"/>
      <c r="DU240" s="228"/>
      <c r="DV240" s="228"/>
      <c r="DW240" s="228"/>
      <c r="DX240" s="228"/>
      <c r="DY240" s="228"/>
      <c r="DZ240" s="228"/>
      <c r="EA240" s="228"/>
      <c r="EB240" s="228"/>
      <c r="EC240" s="228"/>
      <c r="ED240" s="228"/>
      <c r="EE240" s="228"/>
      <c r="EF240" s="228"/>
      <c r="EG240" s="228"/>
      <c r="EH240" s="228"/>
      <c r="EI240" s="228"/>
      <c r="EJ240" s="228"/>
      <c r="EK240" s="228"/>
      <c r="EL240" s="228"/>
      <c r="EM240" s="228"/>
      <c r="EN240" s="228"/>
      <c r="EO240" s="228"/>
      <c r="EP240" s="228"/>
      <c r="EQ240" s="228"/>
      <c r="ER240" s="228"/>
      <c r="ES240" s="228"/>
      <c r="ET240" s="228"/>
      <c r="EU240" s="228"/>
      <c r="EV240" s="228"/>
      <c r="EW240" s="228"/>
      <c r="EX240" s="228"/>
      <c r="EY240" s="228"/>
      <c r="EZ240" s="228"/>
      <c r="FA240" s="228"/>
      <c r="FB240" s="228"/>
      <c r="FC240" s="228"/>
      <c r="FD240" s="228"/>
      <c r="FE240" s="228"/>
      <c r="FF240" s="228"/>
      <c r="FG240" s="228"/>
      <c r="FH240" s="228"/>
      <c r="FI240" s="228"/>
      <c r="FJ240" s="228"/>
      <c r="FK240" s="228"/>
      <c r="FL240" s="228"/>
      <c r="FM240" s="228"/>
      <c r="FN240" s="228"/>
      <c r="FO240" s="228"/>
      <c r="FP240" s="228"/>
      <c r="FQ240" s="228"/>
      <c r="FR240" s="228"/>
      <c r="FS240" s="228"/>
      <c r="FT240" s="228"/>
      <c r="FU240" s="228"/>
      <c r="FV240" s="228"/>
      <c r="FW240" s="228"/>
      <c r="FX240" s="228"/>
      <c r="FY240" s="228"/>
      <c r="FZ240" s="228"/>
      <c r="GA240" s="228"/>
      <c r="GB240" s="228"/>
      <c r="GC240" s="228"/>
      <c r="GD240" s="228"/>
      <c r="GE240" s="228"/>
      <c r="GF240" s="228"/>
      <c r="GG240" s="228"/>
      <c r="GH240" s="228"/>
      <c r="GI240" s="228"/>
      <c r="GJ240" s="228"/>
      <c r="GK240" s="228"/>
      <c r="GL240" s="228"/>
      <c r="GM240" s="228"/>
      <c r="GN240" s="228"/>
      <c r="GO240" s="228"/>
      <c r="GP240" s="228"/>
      <c r="GQ240" s="228"/>
      <c r="GR240" s="228"/>
      <c r="GS240" s="228"/>
      <c r="GT240" s="228"/>
      <c r="GU240" s="228"/>
      <c r="GV240" s="228"/>
      <c r="GW240" s="228"/>
      <c r="GX240" s="228"/>
      <c r="GY240" s="228"/>
      <c r="GZ240" s="228"/>
      <c r="HA240" s="228"/>
      <c r="HB240" s="228"/>
      <c r="HC240" s="228"/>
      <c r="HD240" s="228"/>
      <c r="HE240" s="228"/>
      <c r="HF240" s="228"/>
      <c r="HG240" s="228"/>
      <c r="HH240" s="228"/>
      <c r="HI240" s="228"/>
      <c r="HJ240" s="228"/>
      <c r="HK240" s="228"/>
      <c r="HL240" s="228"/>
      <c r="HM240" s="228"/>
      <c r="HN240" s="228"/>
      <c r="HO240" s="228"/>
      <c r="HP240" s="228"/>
      <c r="HQ240" s="228"/>
      <c r="HR240" s="228"/>
      <c r="HS240" s="228"/>
      <c r="HT240" s="228"/>
      <c r="HU240" s="228"/>
      <c r="HV240" s="228"/>
      <c r="HW240" s="228"/>
      <c r="HX240" s="228"/>
      <c r="HY240" s="228"/>
      <c r="HZ240" s="228"/>
      <c r="IA240" s="228"/>
      <c r="IB240" s="228"/>
      <c r="IC240" s="228"/>
      <c r="ID240" s="228"/>
      <c r="IE240" s="228"/>
      <c r="IF240" s="228"/>
      <c r="IG240" s="228"/>
      <c r="IH240" s="228"/>
      <c r="II240" s="228"/>
      <c r="IJ240" s="228"/>
      <c r="IK240" s="228"/>
      <c r="IL240" s="228"/>
      <c r="IM240" s="228"/>
      <c r="IN240" s="228"/>
      <c r="IO240" s="228"/>
      <c r="IP240" s="228"/>
      <c r="IQ240" s="228"/>
      <c r="IR240" s="228"/>
      <c r="IS240" s="228"/>
      <c r="IT240" s="228"/>
      <c r="IU240" s="228"/>
      <c r="IV240" s="228"/>
    </row>
    <row r="241" spans="1:13" ht="15" customHeight="1" thickBot="1">
      <c r="B241" s="24"/>
      <c r="C241" s="23"/>
      <c r="D241" s="23"/>
      <c r="E241" s="25"/>
      <c r="F241" s="25"/>
      <c r="H241" s="495" t="s">
        <v>1072</v>
      </c>
      <c r="I241" s="491" t="s">
        <v>1063</v>
      </c>
      <c r="J241" s="492" t="s">
        <v>64</v>
      </c>
      <c r="K241" s="23">
        <f>1*1.05</f>
        <v>1.05</v>
      </c>
      <c r="L241" s="25">
        <f>MATERIALES!E202</f>
        <v>111.21</v>
      </c>
      <c r="M241" s="25">
        <f>K241*L241</f>
        <v>116.7705</v>
      </c>
    </row>
    <row r="242" spans="1:13" ht="15" customHeight="1" thickBot="1">
      <c r="A242" s="708" t="s">
        <v>18</v>
      </c>
      <c r="B242" s="709"/>
      <c r="C242" s="709"/>
      <c r="D242" s="709"/>
      <c r="E242" s="710"/>
      <c r="F242" s="26">
        <f>SUM(F233:F241)</f>
        <v>1668.8979245594714</v>
      </c>
      <c r="H242" s="708" t="s">
        <v>18</v>
      </c>
      <c r="I242" s="709"/>
      <c r="J242" s="709"/>
      <c r="K242" s="709"/>
      <c r="L242" s="710"/>
      <c r="M242" s="26">
        <f>SUM(M233:M241)</f>
        <v>293.63755988986782</v>
      </c>
    </row>
    <row r="243" spans="1:13" ht="15" customHeight="1" thickBot="1">
      <c r="A243" s="711" t="s">
        <v>19</v>
      </c>
      <c r="B243" s="712"/>
      <c r="C243" s="712"/>
      <c r="D243" s="712"/>
      <c r="E243" s="712"/>
      <c r="F243" s="713"/>
      <c r="H243" s="711" t="s">
        <v>19</v>
      </c>
      <c r="I243" s="712"/>
      <c r="J243" s="712"/>
      <c r="K243" s="712"/>
      <c r="L243" s="712"/>
      <c r="M243" s="713"/>
    </row>
    <row r="244" spans="1:13" ht="15" customHeight="1" thickBot="1">
      <c r="A244" s="8" t="s">
        <v>1</v>
      </c>
      <c r="B244" s="5" t="s">
        <v>2</v>
      </c>
      <c r="C244" s="8" t="s">
        <v>3</v>
      </c>
      <c r="D244" s="8" t="s">
        <v>9</v>
      </c>
      <c r="E244" s="8" t="s">
        <v>10</v>
      </c>
      <c r="F244" s="8" t="s">
        <v>11</v>
      </c>
      <c r="H244" s="8" t="s">
        <v>1</v>
      </c>
      <c r="I244" s="5" t="s">
        <v>2</v>
      </c>
      <c r="J244" s="8" t="s">
        <v>3</v>
      </c>
      <c r="K244" s="8" t="s">
        <v>9</v>
      </c>
      <c r="L244" s="8" t="s">
        <v>10</v>
      </c>
      <c r="M244" s="8" t="s">
        <v>11</v>
      </c>
    </row>
    <row r="245" spans="1:13" ht="15" customHeight="1">
      <c r="A245" s="463" t="s">
        <v>1013</v>
      </c>
      <c r="B245" s="459" t="s">
        <v>1046</v>
      </c>
      <c r="C245" s="9" t="s">
        <v>21</v>
      </c>
      <c r="D245" s="27">
        <f>1/3</f>
        <v>0.33333333333333331</v>
      </c>
      <c r="E245" s="12">
        <f>'ANÁLISIS CUADRILLAS'!F56</f>
        <v>1160.5378059999998</v>
      </c>
      <c r="F245" s="13">
        <f>D245*E245</f>
        <v>386.84593533333327</v>
      </c>
      <c r="H245" s="463" t="s">
        <v>1013</v>
      </c>
      <c r="I245" s="459" t="s">
        <v>1046</v>
      </c>
      <c r="J245" s="9" t="s">
        <v>21</v>
      </c>
      <c r="K245" s="27">
        <f>1/3</f>
        <v>0.33333333333333331</v>
      </c>
      <c r="L245" s="12">
        <f>'ANÁLISIS CUADRILLAS'!F56</f>
        <v>1160.5378059999998</v>
      </c>
      <c r="M245" s="13">
        <f>K245*L245</f>
        <v>386.84593533333327</v>
      </c>
    </row>
    <row r="246" spans="1:13" ht="15" customHeight="1" thickBot="1">
      <c r="A246" s="23"/>
      <c r="B246" s="24"/>
      <c r="C246" s="23"/>
      <c r="D246" s="23"/>
      <c r="E246" s="25"/>
      <c r="F246" s="25"/>
      <c r="H246" s="23"/>
      <c r="I246" s="24"/>
      <c r="J246" s="23"/>
      <c r="K246" s="23"/>
      <c r="L246" s="25"/>
      <c r="M246" s="25"/>
    </row>
    <row r="247" spans="1:13" ht="15" customHeight="1" thickBot="1">
      <c r="A247" s="714" t="s">
        <v>18</v>
      </c>
      <c r="B247" s="715"/>
      <c r="C247" s="715"/>
      <c r="D247" s="715"/>
      <c r="E247" s="716"/>
      <c r="F247" s="35">
        <f>SUM(F245:F246)</f>
        <v>386.84593533333327</v>
      </c>
      <c r="H247" s="714" t="s">
        <v>18</v>
      </c>
      <c r="I247" s="715"/>
      <c r="J247" s="715"/>
      <c r="K247" s="715"/>
      <c r="L247" s="716"/>
      <c r="M247" s="35">
        <f>SUM(M245:M246)</f>
        <v>386.84593533333327</v>
      </c>
    </row>
    <row r="248" spans="1:13" ht="15" customHeight="1" thickBot="1">
      <c r="A248" s="717" t="s">
        <v>23</v>
      </c>
      <c r="B248" s="718"/>
      <c r="C248" s="718"/>
      <c r="D248" s="718"/>
      <c r="E248" s="718"/>
      <c r="F248" s="719"/>
      <c r="H248" s="717" t="s">
        <v>23</v>
      </c>
      <c r="I248" s="718"/>
      <c r="J248" s="718"/>
      <c r="K248" s="718"/>
      <c r="L248" s="718"/>
      <c r="M248" s="719"/>
    </row>
    <row r="249" spans="1:13" ht="15" customHeight="1" thickBot="1">
      <c r="A249" s="8" t="s">
        <v>1</v>
      </c>
      <c r="B249" s="5" t="s">
        <v>2</v>
      </c>
      <c r="C249" s="8" t="s">
        <v>3</v>
      </c>
      <c r="D249" s="8" t="s">
        <v>9</v>
      </c>
      <c r="E249" s="8" t="s">
        <v>10</v>
      </c>
      <c r="F249" s="8" t="s">
        <v>11</v>
      </c>
      <c r="H249" s="8" t="s">
        <v>1</v>
      </c>
      <c r="I249" s="5" t="s">
        <v>2</v>
      </c>
      <c r="J249" s="8" t="s">
        <v>3</v>
      </c>
      <c r="K249" s="8" t="s">
        <v>9</v>
      </c>
      <c r="L249" s="8" t="s">
        <v>10</v>
      </c>
      <c r="M249" s="8" t="s">
        <v>11</v>
      </c>
    </row>
    <row r="250" spans="1:13" ht="15" customHeight="1" thickBot="1">
      <c r="A250" s="36" t="s">
        <v>24</v>
      </c>
      <c r="B250" s="37" t="s">
        <v>23</v>
      </c>
      <c r="C250" s="36" t="s">
        <v>25</v>
      </c>
      <c r="D250" s="38">
        <v>0.03</v>
      </c>
      <c r="E250" s="39">
        <f>F245</f>
        <v>386.84593533333327</v>
      </c>
      <c r="F250" s="39">
        <f>(D250*E250)</f>
        <v>11.605378059999998</v>
      </c>
      <c r="H250" s="36" t="s">
        <v>24</v>
      </c>
      <c r="I250" s="37" t="s">
        <v>23</v>
      </c>
      <c r="J250" s="36" t="s">
        <v>25</v>
      </c>
      <c r="K250" s="38">
        <v>0.03</v>
      </c>
      <c r="L250" s="39">
        <f>M245</f>
        <v>386.84593533333327</v>
      </c>
      <c r="M250" s="39">
        <f>(K250*L250)</f>
        <v>11.605378059999998</v>
      </c>
    </row>
    <row r="251" spans="1:13" ht="15" customHeight="1" thickBot="1">
      <c r="A251" s="720" t="s">
        <v>26</v>
      </c>
      <c r="B251" s="721"/>
      <c r="C251" s="721"/>
      <c r="D251" s="721"/>
      <c r="E251" s="722"/>
      <c r="F251" s="40">
        <f>SUM(F250)</f>
        <v>11.605378059999998</v>
      </c>
      <c r="H251" s="720" t="s">
        <v>26</v>
      </c>
      <c r="I251" s="721"/>
      <c r="J251" s="721"/>
      <c r="K251" s="721"/>
      <c r="L251" s="722"/>
      <c r="M251" s="40">
        <f>SUM(M250)</f>
        <v>11.605378059999998</v>
      </c>
    </row>
    <row r="252" spans="1:13" ht="15" customHeight="1" thickBot="1">
      <c r="A252" s="723" t="s">
        <v>27</v>
      </c>
      <c r="B252" s="724"/>
      <c r="C252" s="724"/>
      <c r="D252" s="724"/>
      <c r="E252" s="724"/>
      <c r="F252" s="725"/>
      <c r="H252" s="723" t="s">
        <v>27</v>
      </c>
      <c r="I252" s="724"/>
      <c r="J252" s="724"/>
      <c r="K252" s="724"/>
      <c r="L252" s="724"/>
      <c r="M252" s="725"/>
    </row>
    <row r="253" spans="1:13" ht="15" customHeight="1" thickBot="1">
      <c r="A253" s="8" t="s">
        <v>1</v>
      </c>
      <c r="B253" s="5" t="s">
        <v>2</v>
      </c>
      <c r="C253" s="8" t="s">
        <v>3</v>
      </c>
      <c r="D253" s="8" t="s">
        <v>9</v>
      </c>
      <c r="E253" s="8" t="s">
        <v>10</v>
      </c>
      <c r="F253" s="8" t="s">
        <v>11</v>
      </c>
      <c r="H253" s="8" t="s">
        <v>1</v>
      </c>
      <c r="I253" s="5" t="s">
        <v>2</v>
      </c>
      <c r="J253" s="8" t="s">
        <v>3</v>
      </c>
      <c r="K253" s="8" t="s">
        <v>9</v>
      </c>
      <c r="L253" s="8" t="s">
        <v>10</v>
      </c>
      <c r="M253" s="8" t="s">
        <v>11</v>
      </c>
    </row>
    <row r="254" spans="1:13" ht="15" customHeight="1" thickBot="1">
      <c r="A254" s="9" t="s">
        <v>28</v>
      </c>
      <c r="B254" s="10" t="s">
        <v>29</v>
      </c>
      <c r="C254" s="9" t="s">
        <v>25</v>
      </c>
      <c r="D254" s="11">
        <v>0.02</v>
      </c>
      <c r="E254" s="13">
        <f>F245</f>
        <v>386.84593533333327</v>
      </c>
      <c r="F254" s="13">
        <f>(D254*E254)</f>
        <v>7.7369187066666658</v>
      </c>
      <c r="H254" s="9" t="s">
        <v>28</v>
      </c>
      <c r="I254" s="10" t="s">
        <v>29</v>
      </c>
      <c r="J254" s="9" t="s">
        <v>25</v>
      </c>
      <c r="K254" s="11">
        <v>0.02</v>
      </c>
      <c r="L254" s="13">
        <f>M245</f>
        <v>386.84593533333327</v>
      </c>
      <c r="M254" s="13">
        <f>(K254*L254)</f>
        <v>7.7369187066666658</v>
      </c>
    </row>
    <row r="255" spans="1:13" ht="15" customHeight="1" thickBot="1">
      <c r="A255" s="470"/>
      <c r="B255" s="469"/>
      <c r="C255" s="470"/>
      <c r="D255" s="471"/>
      <c r="E255" s="12"/>
      <c r="F255" s="13"/>
      <c r="H255" s="470"/>
      <c r="I255" s="469"/>
      <c r="J255" s="470"/>
      <c r="K255" s="471"/>
      <c r="L255" s="12"/>
      <c r="M255" s="13"/>
    </row>
    <row r="256" spans="1:13" ht="15" customHeight="1" thickBot="1">
      <c r="A256" s="726" t="s">
        <v>34</v>
      </c>
      <c r="B256" s="727"/>
      <c r="C256" s="727"/>
      <c r="D256" s="727"/>
      <c r="E256" s="728"/>
      <c r="F256" s="41">
        <f>SUM(F254:F255)</f>
        <v>7.7369187066666658</v>
      </c>
      <c r="H256" s="726" t="s">
        <v>34</v>
      </c>
      <c r="I256" s="727"/>
      <c r="J256" s="727"/>
      <c r="K256" s="727"/>
      <c r="L256" s="728"/>
      <c r="M256" s="41">
        <f>SUM(M254:M255)</f>
        <v>7.7369187066666658</v>
      </c>
    </row>
    <row r="257" spans="1:13" ht="15" customHeight="1" thickBot="1">
      <c r="A257" s="729" t="s">
        <v>35</v>
      </c>
      <c r="B257" s="730"/>
      <c r="C257" s="730"/>
      <c r="D257" s="730"/>
      <c r="E257" s="730"/>
      <c r="F257" s="731"/>
      <c r="H257" s="729" t="s">
        <v>35</v>
      </c>
      <c r="I257" s="730"/>
      <c r="J257" s="730"/>
      <c r="K257" s="730"/>
      <c r="L257" s="730"/>
      <c r="M257" s="731"/>
    </row>
    <row r="258" spans="1:13" ht="15" customHeight="1">
      <c r="A258" s="476" t="s">
        <v>1</v>
      </c>
      <c r="B258" s="486" t="s">
        <v>2</v>
      </c>
      <c r="C258" s="487" t="s">
        <v>3</v>
      </c>
      <c r="D258" s="487" t="s">
        <v>9</v>
      </c>
      <c r="E258" s="487" t="s">
        <v>10</v>
      </c>
      <c r="F258" s="487"/>
      <c r="H258" s="476" t="s">
        <v>1</v>
      </c>
      <c r="I258" s="486" t="s">
        <v>2</v>
      </c>
      <c r="J258" s="487" t="s">
        <v>3</v>
      </c>
      <c r="K258" s="487" t="s">
        <v>9</v>
      </c>
      <c r="L258" s="487" t="s">
        <v>10</v>
      </c>
      <c r="M258" s="487"/>
    </row>
    <row r="259" spans="1:13" ht="15" customHeight="1">
      <c r="A259" s="439"/>
      <c r="B259" s="479"/>
      <c r="C259" s="478"/>
      <c r="D259" s="478"/>
      <c r="E259" s="480"/>
      <c r="F259" s="481"/>
      <c r="H259" s="439"/>
      <c r="I259" s="479"/>
      <c r="J259" s="478"/>
      <c r="K259" s="478"/>
      <c r="L259" s="480"/>
      <c r="M259" s="481"/>
    </row>
    <row r="260" spans="1:13" ht="15" customHeight="1">
      <c r="A260" s="478"/>
      <c r="B260" s="479"/>
      <c r="C260" s="478"/>
      <c r="D260" s="478"/>
      <c r="E260" s="480"/>
      <c r="F260" s="481"/>
      <c r="H260" s="478"/>
      <c r="I260" s="479"/>
      <c r="J260" s="478"/>
      <c r="K260" s="478"/>
      <c r="L260" s="480"/>
      <c r="M260" s="481"/>
    </row>
    <row r="261" spans="1:13" ht="15" customHeight="1" thickBot="1">
      <c r="A261" s="23"/>
      <c r="B261" s="24"/>
      <c r="C261" s="23"/>
      <c r="D261" s="23"/>
      <c r="E261" s="34"/>
      <c r="F261" s="25"/>
      <c r="H261" s="23"/>
      <c r="I261" s="24"/>
      <c r="J261" s="23"/>
      <c r="K261" s="23"/>
      <c r="L261" s="34"/>
      <c r="M261" s="25"/>
    </row>
    <row r="262" spans="1:13" ht="15" customHeight="1" thickBot="1">
      <c r="A262" s="732" t="s">
        <v>43</v>
      </c>
      <c r="B262" s="746"/>
      <c r="C262" s="746"/>
      <c r="D262" s="746"/>
      <c r="E262" s="747"/>
      <c r="F262" s="49">
        <f>SUM(F258:F261)</f>
        <v>0</v>
      </c>
      <c r="H262" s="732" t="s">
        <v>43</v>
      </c>
      <c r="I262" s="746"/>
      <c r="J262" s="746"/>
      <c r="K262" s="746"/>
      <c r="L262" s="747"/>
      <c r="M262" s="49">
        <f>SUM(M258:M261)</f>
        <v>0</v>
      </c>
    </row>
    <row r="263" spans="1:13" ht="15" customHeight="1" thickBot="1">
      <c r="A263" s="50"/>
      <c r="B263" s="51"/>
      <c r="C263" s="52"/>
      <c r="D263" s="52"/>
      <c r="E263" s="52"/>
      <c r="F263" s="52"/>
      <c r="H263" s="50"/>
      <c r="I263" s="51"/>
      <c r="J263" s="52"/>
      <c r="K263" s="52"/>
      <c r="L263" s="52"/>
      <c r="M263" s="52"/>
    </row>
    <row r="264" spans="1:13" ht="15" customHeight="1" thickBot="1">
      <c r="A264" s="687" t="s">
        <v>44</v>
      </c>
      <c r="B264" s="748"/>
      <c r="C264" s="748"/>
      <c r="D264" s="748"/>
      <c r="E264" s="749"/>
      <c r="F264" s="54">
        <f>SUM(F262,F242,F247,F251,F256)</f>
        <v>2075.0861566594713</v>
      </c>
      <c r="H264" s="687" t="s">
        <v>44</v>
      </c>
      <c r="I264" s="748"/>
      <c r="J264" s="748"/>
      <c r="K264" s="748"/>
      <c r="L264" s="749"/>
      <c r="M264" s="54">
        <f>SUM(M262,M242,M247,M251,M256)</f>
        <v>699.82579198986775</v>
      </c>
    </row>
    <row r="265" spans="1:13" ht="15" customHeight="1" thickBot="1">
      <c r="A265" s="687" t="s">
        <v>45</v>
      </c>
      <c r="B265" s="688"/>
      <c r="C265" s="688"/>
      <c r="D265" s="688"/>
      <c r="E265" s="55"/>
      <c r="F265" s="54"/>
      <c r="H265" s="687" t="s">
        <v>45</v>
      </c>
      <c r="I265" s="688"/>
      <c r="J265" s="688"/>
      <c r="K265" s="688"/>
      <c r="L265" s="55"/>
      <c r="M265" s="54"/>
    </row>
    <row r="266" spans="1:13" ht="15" customHeight="1" thickBot="1">
      <c r="A266" s="687" t="s">
        <v>46</v>
      </c>
      <c r="B266" s="688"/>
      <c r="C266" s="688"/>
      <c r="D266" s="688"/>
      <c r="E266" s="689"/>
      <c r="F266" s="54"/>
      <c r="H266" s="687" t="s">
        <v>46</v>
      </c>
      <c r="I266" s="688"/>
      <c r="J266" s="688"/>
      <c r="K266" s="688"/>
      <c r="L266" s="689"/>
      <c r="M266" s="54"/>
    </row>
    <row r="267" spans="1:13" ht="15" customHeight="1" thickBot="1">
      <c r="A267" s="687" t="s">
        <v>47</v>
      </c>
      <c r="B267" s="688"/>
      <c r="C267" s="688"/>
      <c r="D267" s="688"/>
      <c r="E267" s="56"/>
      <c r="F267" s="54"/>
      <c r="H267" s="687" t="s">
        <v>47</v>
      </c>
      <c r="I267" s="688"/>
      <c r="J267" s="688"/>
      <c r="K267" s="688"/>
      <c r="L267" s="56"/>
      <c r="M267" s="54"/>
    </row>
    <row r="268" spans="1:13" ht="15" customHeight="1" thickBot="1">
      <c r="A268" s="687" t="s">
        <v>46</v>
      </c>
      <c r="B268" s="688"/>
      <c r="C268" s="688"/>
      <c r="D268" s="688"/>
      <c r="E268" s="689"/>
      <c r="F268" s="54"/>
      <c r="H268" s="687" t="s">
        <v>46</v>
      </c>
      <c r="I268" s="688"/>
      <c r="J268" s="688"/>
      <c r="K268" s="688"/>
      <c r="L268" s="689"/>
      <c r="M268" s="54"/>
    </row>
    <row r="269" spans="1:13" ht="15" customHeight="1" thickBot="1">
      <c r="A269" s="687" t="s">
        <v>48</v>
      </c>
      <c r="B269" s="688"/>
      <c r="C269" s="688"/>
      <c r="D269" s="688"/>
      <c r="E269" s="55"/>
      <c r="F269" s="54"/>
      <c r="H269" s="687" t="s">
        <v>48</v>
      </c>
      <c r="I269" s="688"/>
      <c r="J269" s="688"/>
      <c r="K269" s="688"/>
      <c r="L269" s="55"/>
      <c r="M269" s="54"/>
    </row>
    <row r="270" spans="1:13" ht="15" customHeight="1" thickBot="1">
      <c r="A270" s="687" t="s">
        <v>46</v>
      </c>
      <c r="B270" s="688"/>
      <c r="C270" s="688"/>
      <c r="D270" s="688"/>
      <c r="E270" s="689"/>
      <c r="F270" s="54"/>
      <c r="H270" s="687" t="s">
        <v>46</v>
      </c>
      <c r="I270" s="688"/>
      <c r="J270" s="688"/>
      <c r="K270" s="688"/>
      <c r="L270" s="689"/>
      <c r="M270" s="54"/>
    </row>
    <row r="271" spans="1:13" ht="15" customHeight="1" thickBot="1">
      <c r="A271" s="687" t="s">
        <v>49</v>
      </c>
      <c r="B271" s="688"/>
      <c r="C271" s="688"/>
      <c r="D271" s="688"/>
      <c r="E271" s="56"/>
      <c r="F271" s="54"/>
      <c r="H271" s="687" t="s">
        <v>49</v>
      </c>
      <c r="I271" s="688"/>
      <c r="J271" s="688"/>
      <c r="K271" s="688"/>
      <c r="L271" s="56"/>
      <c r="M271" s="54"/>
    </row>
    <row r="272" spans="1:13" ht="15" customHeight="1" thickBot="1">
      <c r="A272" s="690" t="s">
        <v>50</v>
      </c>
      <c r="B272" s="691"/>
      <c r="C272" s="691"/>
      <c r="D272" s="691"/>
      <c r="E272" s="692"/>
      <c r="F272" s="57"/>
      <c r="H272" s="690" t="s">
        <v>50</v>
      </c>
      <c r="I272" s="691"/>
      <c r="J272" s="691"/>
      <c r="K272" s="691"/>
      <c r="L272" s="692"/>
      <c r="M272" s="57"/>
    </row>
    <row r="273" spans="1:13" ht="15" customHeight="1" thickBot="1">
      <c r="A273" s="693" t="s">
        <v>1413</v>
      </c>
      <c r="B273" s="694"/>
      <c r="C273" s="694"/>
      <c r="D273" s="694"/>
      <c r="E273" s="694"/>
      <c r="F273" s="695"/>
      <c r="H273" s="693" t="s">
        <v>1414</v>
      </c>
      <c r="I273" s="694"/>
      <c r="J273" s="694"/>
      <c r="K273" s="694"/>
      <c r="L273" s="694"/>
      <c r="M273" s="695"/>
    </row>
    <row r="274" spans="1:13" ht="15" customHeight="1" thickBot="1"/>
    <row r="275" spans="1:13" ht="25.5" customHeight="1" thickBot="1">
      <c r="A275" s="696" t="s">
        <v>0</v>
      </c>
      <c r="B275" s="697"/>
      <c r="C275" s="697"/>
      <c r="D275" s="697"/>
      <c r="E275" s="697"/>
      <c r="F275" s="698"/>
      <c r="H275" s="696" t="s">
        <v>0</v>
      </c>
      <c r="I275" s="697"/>
      <c r="J275" s="697"/>
      <c r="K275" s="697"/>
      <c r="L275" s="697"/>
      <c r="M275" s="698"/>
    </row>
    <row r="276" spans="1:13" ht="15" customHeight="1" thickBot="1">
      <c r="A276" s="3" t="s">
        <v>1</v>
      </c>
      <c r="B276" s="693" t="s">
        <v>2</v>
      </c>
      <c r="C276" s="694"/>
      <c r="D276" s="694"/>
      <c r="E276" s="695"/>
      <c r="F276" s="3" t="s">
        <v>3</v>
      </c>
      <c r="H276" s="3" t="s">
        <v>1</v>
      </c>
      <c r="I276" s="693" t="s">
        <v>2</v>
      </c>
      <c r="J276" s="694"/>
      <c r="K276" s="694"/>
      <c r="L276" s="695"/>
      <c r="M276" s="3" t="s">
        <v>3</v>
      </c>
    </row>
    <row r="277" spans="1:13" ht="101.25" customHeight="1" thickBot="1">
      <c r="A277" s="5" t="s">
        <v>1048</v>
      </c>
      <c r="B277" s="743" t="s">
        <v>1047</v>
      </c>
      <c r="C277" s="744"/>
      <c r="D277" s="744"/>
      <c r="E277" s="745"/>
      <c r="F277" s="5" t="s">
        <v>64</v>
      </c>
      <c r="H277" s="5" t="s">
        <v>1067</v>
      </c>
      <c r="I277" s="743" t="s">
        <v>1068</v>
      </c>
      <c r="J277" s="744"/>
      <c r="K277" s="744"/>
      <c r="L277" s="745"/>
      <c r="M277" s="5" t="s">
        <v>64</v>
      </c>
    </row>
    <row r="278" spans="1:13" ht="15" customHeight="1" thickBot="1">
      <c r="A278" s="705" t="s">
        <v>8</v>
      </c>
      <c r="B278" s="706"/>
      <c r="C278" s="706"/>
      <c r="D278" s="706"/>
      <c r="E278" s="706"/>
      <c r="F278" s="707"/>
      <c r="H278" s="705" t="s">
        <v>8</v>
      </c>
      <c r="I278" s="706"/>
      <c r="J278" s="706"/>
      <c r="K278" s="706"/>
      <c r="L278" s="706"/>
      <c r="M278" s="707"/>
    </row>
    <row r="279" spans="1:13" ht="15" customHeight="1" thickBot="1">
      <c r="A279" s="8" t="s">
        <v>1</v>
      </c>
      <c r="B279" s="5" t="s">
        <v>2</v>
      </c>
      <c r="C279" s="8" t="s">
        <v>3</v>
      </c>
      <c r="D279" s="8" t="s">
        <v>9</v>
      </c>
      <c r="E279" s="8" t="s">
        <v>10</v>
      </c>
      <c r="F279" s="8" t="s">
        <v>11</v>
      </c>
      <c r="H279" s="8" t="s">
        <v>1</v>
      </c>
      <c r="I279" s="5" t="s">
        <v>2</v>
      </c>
      <c r="J279" s="8" t="s">
        <v>3</v>
      </c>
      <c r="K279" s="8" t="s">
        <v>9</v>
      </c>
      <c r="L279" s="8" t="s">
        <v>10</v>
      </c>
      <c r="M279" s="8" t="s">
        <v>11</v>
      </c>
    </row>
    <row r="280" spans="1:13" ht="15" customHeight="1">
      <c r="A280" s="463" t="s">
        <v>725</v>
      </c>
      <c r="B280" s="459" t="s">
        <v>1054</v>
      </c>
      <c r="C280" s="9" t="s">
        <v>833</v>
      </c>
      <c r="D280" s="11">
        <f>(0.85+0.3+0.4)*1.05</f>
        <v>1.6274999999999999</v>
      </c>
      <c r="E280" s="12">
        <f>MATERIALES!E176</f>
        <v>54.69</v>
      </c>
      <c r="F280" s="13">
        <f t="shared" ref="F280:F283" si="5">D280*E280</f>
        <v>89.007974999999988</v>
      </c>
      <c r="H280" s="463" t="s">
        <v>674</v>
      </c>
      <c r="I280" s="459" t="s">
        <v>1074</v>
      </c>
      <c r="J280" s="9" t="s">
        <v>833</v>
      </c>
      <c r="K280" s="11">
        <f>(0.2+0.4)*1.05</f>
        <v>0.63000000000000012</v>
      </c>
      <c r="L280" s="12">
        <f>MATERIALES!E154</f>
        <v>33.020000000000003</v>
      </c>
      <c r="M280" s="13">
        <f t="shared" ref="M280:M283" si="6">K280*L280</f>
        <v>20.802600000000005</v>
      </c>
    </row>
    <row r="281" spans="1:13" ht="15" customHeight="1">
      <c r="A281" s="466" t="s">
        <v>425</v>
      </c>
      <c r="B281" s="460" t="s">
        <v>1055</v>
      </c>
      <c r="C281" s="16" t="s">
        <v>64</v>
      </c>
      <c r="D281" s="18">
        <f>(OPERACIONES!C2)*1.05</f>
        <v>0.13125000000000001</v>
      </c>
      <c r="E281" s="20">
        <f>MATERIALES!E52</f>
        <v>103.79</v>
      </c>
      <c r="F281" s="20">
        <f t="shared" si="5"/>
        <v>13.622437500000002</v>
      </c>
      <c r="H281" s="466" t="s">
        <v>425</v>
      </c>
      <c r="I281" s="460" t="s">
        <v>1055</v>
      </c>
      <c r="J281" s="16" t="s">
        <v>64</v>
      </c>
      <c r="K281" s="494">
        <f>(OPERACIONES!C11)*1.05</f>
        <v>6.5625000000000003E-2</v>
      </c>
      <c r="L281" s="20">
        <f>MATERIALES!E52</f>
        <v>103.79</v>
      </c>
      <c r="M281" s="20">
        <f t="shared" si="6"/>
        <v>6.811218750000001</v>
      </c>
    </row>
    <row r="282" spans="1:13" ht="15" customHeight="1">
      <c r="A282" s="466" t="s">
        <v>348</v>
      </c>
      <c r="B282" s="460" t="s">
        <v>1059</v>
      </c>
      <c r="C282" s="16" t="s">
        <v>64</v>
      </c>
      <c r="D282" s="18">
        <f>(1/100)*1.05</f>
        <v>1.0500000000000001E-2</v>
      </c>
      <c r="E282" s="20">
        <f>MATERIALES!E24</f>
        <v>89</v>
      </c>
      <c r="F282" s="20">
        <f t="shared" si="5"/>
        <v>0.93450000000000011</v>
      </c>
      <c r="H282" s="466" t="s">
        <v>348</v>
      </c>
      <c r="I282" s="460" t="s">
        <v>1059</v>
      </c>
      <c r="J282" s="16" t="s">
        <v>64</v>
      </c>
      <c r="K282" s="18">
        <f>(1/100)*1.05</f>
        <v>1.0500000000000001E-2</v>
      </c>
      <c r="L282" s="20">
        <f>MATERIALES!E24</f>
        <v>89</v>
      </c>
      <c r="M282" s="20">
        <f t="shared" si="6"/>
        <v>0.93450000000000011</v>
      </c>
    </row>
    <row r="283" spans="1:13" ht="15" customHeight="1">
      <c r="A283" s="462" t="s">
        <v>557</v>
      </c>
      <c r="B283" s="461" t="s">
        <v>1056</v>
      </c>
      <c r="C283" s="21" t="s">
        <v>64</v>
      </c>
      <c r="D283" s="490">
        <f>OPERACIONES!C3</f>
        <v>4</v>
      </c>
      <c r="E283" s="20">
        <f>MATERIALES!E103</f>
        <v>3.01</v>
      </c>
      <c r="F283" s="20">
        <f t="shared" si="5"/>
        <v>12.04</v>
      </c>
      <c r="H283" s="462" t="s">
        <v>1077</v>
      </c>
      <c r="I283" s="461" t="s">
        <v>1075</v>
      </c>
      <c r="J283" s="21" t="s">
        <v>64</v>
      </c>
      <c r="K283" s="496">
        <f>1*1.05</f>
        <v>1.05</v>
      </c>
      <c r="L283" s="20">
        <f>MATERIALES!E203</f>
        <v>11.21</v>
      </c>
      <c r="M283" s="20">
        <f t="shared" si="6"/>
        <v>11.770500000000002</v>
      </c>
    </row>
    <row r="284" spans="1:13" ht="15" customHeight="1">
      <c r="A284" s="462"/>
      <c r="B284" s="461"/>
      <c r="C284" s="462"/>
      <c r="D284" s="21"/>
      <c r="E284" s="20"/>
      <c r="F284" s="20"/>
      <c r="H284" s="462" t="s">
        <v>1073</v>
      </c>
      <c r="I284" s="461" t="s">
        <v>1071</v>
      </c>
      <c r="J284" s="462" t="s">
        <v>64</v>
      </c>
      <c r="K284" s="21">
        <f>1*1.05</f>
        <v>1.05</v>
      </c>
      <c r="L284" s="20">
        <f>MATERIALES!E204</f>
        <v>17.239999999999998</v>
      </c>
      <c r="M284" s="20">
        <f>K284*L284</f>
        <v>18.102</v>
      </c>
    </row>
    <row r="285" spans="1:13" ht="15" customHeight="1">
      <c r="A285" s="462"/>
      <c r="B285" s="461"/>
      <c r="C285" s="462"/>
      <c r="D285" s="21"/>
      <c r="E285" s="20"/>
      <c r="F285" s="20"/>
      <c r="H285" s="462"/>
      <c r="I285" s="461"/>
      <c r="J285" s="462"/>
      <c r="K285" s="21"/>
      <c r="L285" s="20"/>
      <c r="M285" s="20"/>
    </row>
    <row r="286" spans="1:13" ht="15" customHeight="1" thickBot="1">
      <c r="A286" s="23"/>
      <c r="B286" s="24"/>
      <c r="C286" s="23"/>
      <c r="D286" s="23"/>
      <c r="E286" s="25"/>
      <c r="F286" s="25"/>
      <c r="H286" s="23"/>
      <c r="I286" s="24"/>
      <c r="J286" s="23"/>
      <c r="K286" s="23"/>
      <c r="L286" s="25"/>
      <c r="M286" s="25"/>
    </row>
    <row r="287" spans="1:13" ht="15" customHeight="1" thickBot="1">
      <c r="A287" s="708" t="s">
        <v>18</v>
      </c>
      <c r="B287" s="709"/>
      <c r="C287" s="709"/>
      <c r="D287" s="709"/>
      <c r="E287" s="710"/>
      <c r="F287" s="26">
        <f>SUM(F280:F286)</f>
        <v>115.60491249999998</v>
      </c>
      <c r="H287" s="708" t="s">
        <v>18</v>
      </c>
      <c r="I287" s="709"/>
      <c r="J287" s="709"/>
      <c r="K287" s="709"/>
      <c r="L287" s="710"/>
      <c r="M287" s="26">
        <f>SUM(M280:M286)</f>
        <v>58.420818750000009</v>
      </c>
    </row>
    <row r="288" spans="1:13" ht="15" customHeight="1" thickBot="1">
      <c r="A288" s="711" t="s">
        <v>19</v>
      </c>
      <c r="B288" s="712"/>
      <c r="C288" s="712"/>
      <c r="D288" s="712"/>
      <c r="E288" s="712"/>
      <c r="F288" s="713"/>
      <c r="H288" s="711" t="s">
        <v>19</v>
      </c>
      <c r="I288" s="712"/>
      <c r="J288" s="712"/>
      <c r="K288" s="712"/>
      <c r="L288" s="712"/>
      <c r="M288" s="713"/>
    </row>
    <row r="289" spans="1:13" ht="15" customHeight="1" thickBot="1">
      <c r="A289" s="8" t="s">
        <v>1</v>
      </c>
      <c r="B289" s="5" t="s">
        <v>2</v>
      </c>
      <c r="C289" s="8" t="s">
        <v>3</v>
      </c>
      <c r="D289" s="8" t="s">
        <v>9</v>
      </c>
      <c r="E289" s="8" t="s">
        <v>10</v>
      </c>
      <c r="F289" s="8" t="s">
        <v>11</v>
      </c>
      <c r="H289" s="8" t="s">
        <v>1</v>
      </c>
      <c r="I289" s="5" t="s">
        <v>2</v>
      </c>
      <c r="J289" s="8" t="s">
        <v>3</v>
      </c>
      <c r="K289" s="8" t="s">
        <v>9</v>
      </c>
      <c r="L289" s="8" t="s">
        <v>10</v>
      </c>
      <c r="M289" s="8" t="s">
        <v>11</v>
      </c>
    </row>
    <row r="290" spans="1:13" ht="15" customHeight="1">
      <c r="A290" s="463" t="s">
        <v>1013</v>
      </c>
      <c r="B290" s="459" t="s">
        <v>1015</v>
      </c>
      <c r="C290" s="9" t="s">
        <v>21</v>
      </c>
      <c r="D290" s="27">
        <f>1/4</f>
        <v>0.25</v>
      </c>
      <c r="E290" s="12">
        <f>'ANÁLISIS CUADRILLAS'!F56</f>
        <v>1160.5378059999998</v>
      </c>
      <c r="F290" s="13">
        <f>D290*E290</f>
        <v>290.13445149999995</v>
      </c>
      <c r="H290" s="463" t="s">
        <v>1013</v>
      </c>
      <c r="I290" s="459" t="s">
        <v>1015</v>
      </c>
      <c r="J290" s="9" t="s">
        <v>21</v>
      </c>
      <c r="K290" s="27">
        <f>1/4</f>
        <v>0.25</v>
      </c>
      <c r="L290" s="12">
        <f>'ANÁLISIS CUADRILLAS'!F56</f>
        <v>1160.5378059999998</v>
      </c>
      <c r="M290" s="13">
        <f>K290*L290</f>
        <v>290.13445149999995</v>
      </c>
    </row>
    <row r="291" spans="1:13" ht="15" customHeight="1" thickBot="1">
      <c r="A291" s="23"/>
      <c r="B291" s="24"/>
      <c r="C291" s="23"/>
      <c r="D291" s="23"/>
      <c r="E291" s="25"/>
      <c r="F291" s="25"/>
      <c r="H291" s="23"/>
      <c r="I291" s="24"/>
      <c r="J291" s="23"/>
      <c r="K291" s="23"/>
      <c r="L291" s="25"/>
      <c r="M291" s="25"/>
    </row>
    <row r="292" spans="1:13" ht="15" customHeight="1" thickBot="1">
      <c r="A292" s="714" t="s">
        <v>18</v>
      </c>
      <c r="B292" s="715"/>
      <c r="C292" s="715"/>
      <c r="D292" s="715"/>
      <c r="E292" s="716"/>
      <c r="F292" s="35">
        <f>SUM(F290:F291)</f>
        <v>290.13445149999995</v>
      </c>
      <c r="H292" s="714" t="s">
        <v>18</v>
      </c>
      <c r="I292" s="715"/>
      <c r="J292" s="715"/>
      <c r="K292" s="715"/>
      <c r="L292" s="716"/>
      <c r="M292" s="35">
        <f>SUM(M290:M291)</f>
        <v>290.13445149999995</v>
      </c>
    </row>
    <row r="293" spans="1:13" ht="15" customHeight="1" thickBot="1">
      <c r="A293" s="717" t="s">
        <v>23</v>
      </c>
      <c r="B293" s="718"/>
      <c r="C293" s="718"/>
      <c r="D293" s="718"/>
      <c r="E293" s="718"/>
      <c r="F293" s="719"/>
      <c r="H293" s="717" t="s">
        <v>23</v>
      </c>
      <c r="I293" s="718"/>
      <c r="J293" s="718"/>
      <c r="K293" s="718"/>
      <c r="L293" s="718"/>
      <c r="M293" s="719"/>
    </row>
    <row r="294" spans="1:13" ht="15" customHeight="1" thickBot="1">
      <c r="A294" s="8" t="s">
        <v>1</v>
      </c>
      <c r="B294" s="5" t="s">
        <v>2</v>
      </c>
      <c r="C294" s="8" t="s">
        <v>3</v>
      </c>
      <c r="D294" s="8" t="s">
        <v>9</v>
      </c>
      <c r="E294" s="8" t="s">
        <v>10</v>
      </c>
      <c r="F294" s="8" t="s">
        <v>11</v>
      </c>
      <c r="H294" s="8" t="s">
        <v>1</v>
      </c>
      <c r="I294" s="5" t="s">
        <v>2</v>
      </c>
      <c r="J294" s="8" t="s">
        <v>3</v>
      </c>
      <c r="K294" s="8" t="s">
        <v>9</v>
      </c>
      <c r="L294" s="8" t="s">
        <v>10</v>
      </c>
      <c r="M294" s="8" t="s">
        <v>11</v>
      </c>
    </row>
    <row r="295" spans="1:13" ht="15" customHeight="1" thickBot="1">
      <c r="A295" s="36" t="s">
        <v>24</v>
      </c>
      <c r="B295" s="37" t="s">
        <v>23</v>
      </c>
      <c r="C295" s="36" t="s">
        <v>25</v>
      </c>
      <c r="D295" s="38">
        <v>0.03</v>
      </c>
      <c r="E295" s="39">
        <f>F290</f>
        <v>290.13445149999995</v>
      </c>
      <c r="F295" s="39">
        <f>(D295*E295)</f>
        <v>8.7040335449999979</v>
      </c>
      <c r="H295" s="36" t="s">
        <v>24</v>
      </c>
      <c r="I295" s="37" t="s">
        <v>23</v>
      </c>
      <c r="J295" s="36" t="s">
        <v>25</v>
      </c>
      <c r="K295" s="38">
        <v>0.03</v>
      </c>
      <c r="L295" s="39">
        <f>M290</f>
        <v>290.13445149999995</v>
      </c>
      <c r="M295" s="39">
        <f>(K295*L295)</f>
        <v>8.7040335449999979</v>
      </c>
    </row>
    <row r="296" spans="1:13" ht="15" customHeight="1" thickBot="1">
      <c r="A296" s="720" t="s">
        <v>26</v>
      </c>
      <c r="B296" s="721"/>
      <c r="C296" s="721"/>
      <c r="D296" s="721"/>
      <c r="E296" s="722"/>
      <c r="F296" s="40">
        <f>SUM(F295)</f>
        <v>8.7040335449999979</v>
      </c>
      <c r="H296" s="720" t="s">
        <v>26</v>
      </c>
      <c r="I296" s="721"/>
      <c r="J296" s="721"/>
      <c r="K296" s="721"/>
      <c r="L296" s="722"/>
      <c r="M296" s="40">
        <f>SUM(M295)</f>
        <v>8.7040335449999979</v>
      </c>
    </row>
    <row r="297" spans="1:13" ht="15" customHeight="1" thickBot="1">
      <c r="A297" s="723" t="s">
        <v>27</v>
      </c>
      <c r="B297" s="724"/>
      <c r="C297" s="724"/>
      <c r="D297" s="724"/>
      <c r="E297" s="724"/>
      <c r="F297" s="725"/>
      <c r="H297" s="723" t="s">
        <v>27</v>
      </c>
      <c r="I297" s="724"/>
      <c r="J297" s="724"/>
      <c r="K297" s="724"/>
      <c r="L297" s="724"/>
      <c r="M297" s="725"/>
    </row>
    <row r="298" spans="1:13" ht="15" customHeight="1" thickBot="1">
      <c r="A298" s="8" t="s">
        <v>1</v>
      </c>
      <c r="B298" s="5" t="s">
        <v>2</v>
      </c>
      <c r="C298" s="8" t="s">
        <v>3</v>
      </c>
      <c r="D298" s="8" t="s">
        <v>9</v>
      </c>
      <c r="E298" s="8" t="s">
        <v>10</v>
      </c>
      <c r="F298" s="8" t="s">
        <v>11</v>
      </c>
      <c r="H298" s="8" t="s">
        <v>1</v>
      </c>
      <c r="I298" s="5" t="s">
        <v>2</v>
      </c>
      <c r="J298" s="8" t="s">
        <v>3</v>
      </c>
      <c r="K298" s="8" t="s">
        <v>9</v>
      </c>
      <c r="L298" s="8" t="s">
        <v>10</v>
      </c>
      <c r="M298" s="8" t="s">
        <v>11</v>
      </c>
    </row>
    <row r="299" spans="1:13" ht="15" customHeight="1">
      <c r="A299" s="9" t="s">
        <v>28</v>
      </c>
      <c r="B299" s="10" t="s">
        <v>29</v>
      </c>
      <c r="C299" s="9" t="s">
        <v>25</v>
      </c>
      <c r="D299" s="11">
        <v>0.02</v>
      </c>
      <c r="E299" s="13">
        <f>F290</f>
        <v>290.13445149999995</v>
      </c>
      <c r="F299" s="13">
        <f>(D299*E299)</f>
        <v>5.8026890299999989</v>
      </c>
      <c r="H299" s="9" t="s">
        <v>28</v>
      </c>
      <c r="I299" s="10" t="s">
        <v>29</v>
      </c>
      <c r="J299" s="9" t="s">
        <v>25</v>
      </c>
      <c r="K299" s="11">
        <v>0.02</v>
      </c>
      <c r="L299" s="13">
        <f>M290</f>
        <v>290.13445149999995</v>
      </c>
      <c r="M299" s="13">
        <f>(K299*L299)</f>
        <v>5.8026890299999989</v>
      </c>
    </row>
    <row r="300" spans="1:13" ht="15" customHeight="1" thickBot="1">
      <c r="A300" s="23"/>
      <c r="B300" s="24"/>
      <c r="C300" s="23"/>
      <c r="D300" s="23"/>
      <c r="E300" s="25"/>
      <c r="F300" s="25"/>
      <c r="H300" s="23"/>
      <c r="I300" s="24"/>
      <c r="J300" s="23"/>
      <c r="K300" s="23"/>
      <c r="L300" s="25"/>
      <c r="M300" s="25"/>
    </row>
    <row r="301" spans="1:13" ht="15" customHeight="1" thickBot="1">
      <c r="A301" s="726" t="s">
        <v>34</v>
      </c>
      <c r="B301" s="727"/>
      <c r="C301" s="727"/>
      <c r="D301" s="727"/>
      <c r="E301" s="728"/>
      <c r="F301" s="41">
        <f>SUM(F299:F300)</f>
        <v>5.8026890299999989</v>
      </c>
      <c r="H301" s="726" t="s">
        <v>34</v>
      </c>
      <c r="I301" s="727"/>
      <c r="J301" s="727"/>
      <c r="K301" s="727"/>
      <c r="L301" s="728"/>
      <c r="M301" s="41">
        <f>SUM(M299:M300)</f>
        <v>5.8026890299999989</v>
      </c>
    </row>
    <row r="302" spans="1:13" ht="15" customHeight="1" thickBot="1">
      <c r="A302" s="729" t="s">
        <v>35</v>
      </c>
      <c r="B302" s="730"/>
      <c r="C302" s="730"/>
      <c r="D302" s="730"/>
      <c r="E302" s="730"/>
      <c r="F302" s="731"/>
      <c r="H302" s="729" t="s">
        <v>35</v>
      </c>
      <c r="I302" s="730"/>
      <c r="J302" s="730"/>
      <c r="K302" s="730"/>
      <c r="L302" s="730"/>
      <c r="M302" s="731"/>
    </row>
    <row r="303" spans="1:13" ht="15" customHeight="1" thickBot="1">
      <c r="A303" s="8" t="s">
        <v>1</v>
      </c>
      <c r="B303" s="5" t="s">
        <v>2</v>
      </c>
      <c r="C303" s="8" t="s">
        <v>3</v>
      </c>
      <c r="D303" s="8" t="s">
        <v>9</v>
      </c>
      <c r="E303" s="8" t="s">
        <v>10</v>
      </c>
      <c r="F303" s="8" t="s">
        <v>11</v>
      </c>
      <c r="H303" s="8" t="s">
        <v>1</v>
      </c>
      <c r="I303" s="5" t="s">
        <v>2</v>
      </c>
      <c r="J303" s="8" t="s">
        <v>3</v>
      </c>
      <c r="K303" s="8" t="s">
        <v>9</v>
      </c>
      <c r="L303" s="8" t="s">
        <v>10</v>
      </c>
      <c r="M303" s="8" t="s">
        <v>11</v>
      </c>
    </row>
    <row r="304" spans="1:13" ht="15" customHeight="1">
      <c r="A304" s="14"/>
      <c r="B304" s="15"/>
      <c r="C304" s="14"/>
      <c r="D304" s="14"/>
      <c r="E304" s="12"/>
      <c r="F304" s="13"/>
      <c r="H304" s="14"/>
      <c r="I304" s="15"/>
      <c r="J304" s="14"/>
      <c r="K304" s="14"/>
      <c r="L304" s="12"/>
      <c r="M304" s="13"/>
    </row>
    <row r="305" spans="1:256" ht="15" customHeight="1">
      <c r="A305" s="42"/>
      <c r="B305" s="43"/>
      <c r="C305" s="42"/>
      <c r="D305" s="42"/>
      <c r="E305" s="44"/>
      <c r="F305" s="20"/>
      <c r="H305" s="42"/>
      <c r="I305" s="43"/>
      <c r="J305" s="42"/>
      <c r="K305" s="42"/>
      <c r="L305" s="44"/>
      <c r="M305" s="20"/>
    </row>
    <row r="306" spans="1:256" ht="15" customHeight="1" thickBot="1">
      <c r="A306" s="23"/>
      <c r="B306" s="24"/>
      <c r="C306" s="23"/>
      <c r="D306" s="23"/>
      <c r="E306" s="34"/>
      <c r="F306" s="25"/>
      <c r="H306" s="23"/>
      <c r="I306" s="24"/>
      <c r="J306" s="23"/>
      <c r="K306" s="23"/>
      <c r="L306" s="34"/>
      <c r="M306" s="25"/>
    </row>
    <row r="307" spans="1:256" ht="15" customHeight="1" thickBot="1">
      <c r="A307" s="732" t="s">
        <v>43</v>
      </c>
      <c r="B307" s="746"/>
      <c r="C307" s="746"/>
      <c r="D307" s="746"/>
      <c r="E307" s="747"/>
      <c r="F307" s="49">
        <f>SUM(F304:F306)</f>
        <v>0</v>
      </c>
      <c r="H307" s="732" t="s">
        <v>43</v>
      </c>
      <c r="I307" s="746"/>
      <c r="J307" s="746"/>
      <c r="K307" s="746"/>
      <c r="L307" s="747"/>
      <c r="M307" s="49">
        <f>SUM(M304:M306)</f>
        <v>0</v>
      </c>
    </row>
    <row r="308" spans="1:256" ht="15" customHeight="1" thickBot="1">
      <c r="A308" s="50"/>
      <c r="B308" s="51"/>
      <c r="C308" s="52"/>
      <c r="D308" s="52"/>
      <c r="E308" s="52"/>
      <c r="F308" s="52"/>
      <c r="H308" s="50"/>
      <c r="I308" s="51"/>
      <c r="J308" s="52"/>
      <c r="K308" s="52"/>
      <c r="L308" s="52"/>
      <c r="M308" s="52"/>
    </row>
    <row r="309" spans="1:256" ht="15" customHeight="1" thickBot="1">
      <c r="A309" s="687" t="s">
        <v>44</v>
      </c>
      <c r="B309" s="748"/>
      <c r="C309" s="748"/>
      <c r="D309" s="748"/>
      <c r="E309" s="749"/>
      <c r="F309" s="54">
        <f>SUM(F307,F287,F292,F296,F301)</f>
        <v>420.24608657499994</v>
      </c>
      <c r="H309" s="687" t="s">
        <v>44</v>
      </c>
      <c r="I309" s="748"/>
      <c r="J309" s="748"/>
      <c r="K309" s="748"/>
      <c r="L309" s="749"/>
      <c r="M309" s="54">
        <f>SUM(M307,M287,M292,M296,M301)</f>
        <v>363.061992825</v>
      </c>
    </row>
    <row r="310" spans="1:256" ht="15" customHeight="1" thickBot="1">
      <c r="A310" s="687" t="s">
        <v>45</v>
      </c>
      <c r="B310" s="688"/>
      <c r="C310" s="688"/>
      <c r="D310" s="688"/>
      <c r="E310" s="55"/>
      <c r="F310" s="54"/>
      <c r="H310" s="687" t="s">
        <v>45</v>
      </c>
      <c r="I310" s="688"/>
      <c r="J310" s="688"/>
      <c r="K310" s="688"/>
      <c r="L310" s="55"/>
      <c r="M310" s="54"/>
    </row>
    <row r="311" spans="1:256" ht="15" customHeight="1" thickBot="1">
      <c r="A311" s="687" t="s">
        <v>46</v>
      </c>
      <c r="B311" s="688"/>
      <c r="C311" s="688"/>
      <c r="D311" s="688"/>
      <c r="E311" s="689"/>
      <c r="F311" s="54"/>
      <c r="H311" s="687" t="s">
        <v>46</v>
      </c>
      <c r="I311" s="688"/>
      <c r="J311" s="688"/>
      <c r="K311" s="688"/>
      <c r="L311" s="689"/>
      <c r="M311" s="54"/>
    </row>
    <row r="312" spans="1:256" ht="15" customHeight="1" thickBot="1">
      <c r="A312" s="687" t="s">
        <v>47</v>
      </c>
      <c r="B312" s="688"/>
      <c r="C312" s="688"/>
      <c r="D312" s="688"/>
      <c r="E312" s="56"/>
      <c r="F312" s="54"/>
      <c r="H312" s="687" t="s">
        <v>47</v>
      </c>
      <c r="I312" s="688"/>
      <c r="J312" s="688"/>
      <c r="K312" s="688"/>
      <c r="L312" s="56"/>
      <c r="M312" s="54"/>
    </row>
    <row r="313" spans="1:256" ht="15" customHeight="1" thickBot="1">
      <c r="A313" s="687" t="s">
        <v>46</v>
      </c>
      <c r="B313" s="688"/>
      <c r="C313" s="688"/>
      <c r="D313" s="688"/>
      <c r="E313" s="689"/>
      <c r="F313" s="54"/>
      <c r="H313" s="687" t="s">
        <v>46</v>
      </c>
      <c r="I313" s="688"/>
      <c r="J313" s="688"/>
      <c r="K313" s="688"/>
      <c r="L313" s="689"/>
      <c r="M313" s="54"/>
    </row>
    <row r="314" spans="1:256" ht="15" customHeight="1" thickBot="1">
      <c r="A314" s="687" t="s">
        <v>48</v>
      </c>
      <c r="B314" s="688"/>
      <c r="C314" s="688"/>
      <c r="D314" s="688"/>
      <c r="E314" s="55"/>
      <c r="F314" s="54"/>
      <c r="H314" s="687" t="s">
        <v>48</v>
      </c>
      <c r="I314" s="688"/>
      <c r="J314" s="688"/>
      <c r="K314" s="688"/>
      <c r="L314" s="55"/>
      <c r="M314" s="54"/>
    </row>
    <row r="315" spans="1:256" ht="15" customHeight="1" thickBot="1">
      <c r="A315" s="687" t="s">
        <v>46</v>
      </c>
      <c r="B315" s="688"/>
      <c r="C315" s="688"/>
      <c r="D315" s="688"/>
      <c r="E315" s="689"/>
      <c r="F315" s="54"/>
      <c r="H315" s="687" t="s">
        <v>46</v>
      </c>
      <c r="I315" s="688"/>
      <c r="J315" s="688"/>
      <c r="K315" s="688"/>
      <c r="L315" s="689"/>
      <c r="M315" s="54"/>
    </row>
    <row r="316" spans="1:256" ht="15" customHeight="1" thickBot="1">
      <c r="A316" s="687" t="s">
        <v>49</v>
      </c>
      <c r="B316" s="688"/>
      <c r="C316" s="688"/>
      <c r="D316" s="688"/>
      <c r="E316" s="56"/>
      <c r="F316" s="54"/>
      <c r="H316" s="687" t="s">
        <v>49</v>
      </c>
      <c r="I316" s="688"/>
      <c r="J316" s="688"/>
      <c r="K316" s="688"/>
      <c r="L316" s="56"/>
      <c r="M316" s="54"/>
    </row>
    <row r="317" spans="1:256" ht="15" customHeight="1" thickBot="1">
      <c r="A317" s="690" t="s">
        <v>50</v>
      </c>
      <c r="B317" s="691"/>
      <c r="C317" s="691"/>
      <c r="D317" s="691"/>
      <c r="E317" s="692"/>
      <c r="F317" s="57"/>
      <c r="H317" s="690" t="s">
        <v>50</v>
      </c>
      <c r="I317" s="691"/>
      <c r="J317" s="691"/>
      <c r="K317" s="691"/>
      <c r="L317" s="692"/>
      <c r="M317" s="57"/>
    </row>
    <row r="318" spans="1:256" ht="15" customHeight="1" thickBot="1">
      <c r="A318" s="693" t="s">
        <v>1415</v>
      </c>
      <c r="B318" s="694"/>
      <c r="C318" s="694"/>
      <c r="D318" s="694"/>
      <c r="E318" s="694"/>
      <c r="F318" s="695"/>
      <c r="H318" s="693" t="s">
        <v>1416</v>
      </c>
      <c r="I318" s="694"/>
      <c r="J318" s="694"/>
      <c r="K318" s="694"/>
      <c r="L318" s="694"/>
      <c r="M318" s="695"/>
    </row>
    <row r="319" spans="1:256" s="529" customFormat="1" ht="15" customHeight="1">
      <c r="A319" s="528"/>
      <c r="B319" s="528"/>
      <c r="C319" s="528"/>
      <c r="D319" s="528"/>
      <c r="E319" s="528"/>
      <c r="F319" s="528"/>
      <c r="G319" s="528"/>
      <c r="H319" s="528"/>
      <c r="I319" s="528"/>
      <c r="J319" s="528"/>
      <c r="K319" s="528"/>
      <c r="L319" s="528"/>
      <c r="M319" s="528"/>
      <c r="N319" s="528"/>
      <c r="O319" s="528"/>
      <c r="P319" s="528"/>
      <c r="Q319" s="528"/>
      <c r="R319" s="528"/>
      <c r="S319" s="528"/>
      <c r="T319" s="528"/>
      <c r="U319" s="528"/>
      <c r="V319" s="528"/>
      <c r="W319" s="528"/>
      <c r="X319" s="528"/>
      <c r="Y319" s="528"/>
      <c r="Z319" s="528"/>
      <c r="AA319" s="528"/>
      <c r="AB319" s="528"/>
      <c r="AC319" s="528"/>
      <c r="AD319" s="528"/>
      <c r="AE319" s="528"/>
      <c r="AF319" s="528"/>
      <c r="AG319" s="528"/>
      <c r="AH319" s="528"/>
      <c r="AI319" s="528"/>
      <c r="AJ319" s="528"/>
      <c r="AK319" s="528"/>
      <c r="AL319" s="528"/>
      <c r="AM319" s="528"/>
      <c r="AN319" s="528"/>
      <c r="AO319" s="528"/>
      <c r="AP319" s="528"/>
      <c r="AQ319" s="528"/>
      <c r="AR319" s="528"/>
      <c r="AS319" s="528"/>
      <c r="AT319" s="528"/>
      <c r="AU319" s="528"/>
      <c r="AV319" s="528"/>
      <c r="AW319" s="528"/>
      <c r="AX319" s="528"/>
      <c r="AY319" s="528"/>
      <c r="AZ319" s="528"/>
      <c r="BA319" s="528"/>
      <c r="BB319" s="528"/>
      <c r="BC319" s="528"/>
      <c r="BD319" s="528"/>
      <c r="BE319" s="528"/>
      <c r="BF319" s="528"/>
      <c r="BG319" s="528"/>
      <c r="BH319" s="528"/>
      <c r="BI319" s="528"/>
      <c r="BJ319" s="528"/>
      <c r="BK319" s="528"/>
      <c r="BL319" s="528"/>
      <c r="BM319" s="528"/>
      <c r="BN319" s="528"/>
      <c r="BO319" s="528"/>
      <c r="BP319" s="528"/>
      <c r="BQ319" s="528"/>
      <c r="BR319" s="528"/>
      <c r="BS319" s="528"/>
      <c r="BT319" s="528"/>
      <c r="BU319" s="528"/>
      <c r="BV319" s="528"/>
      <c r="BW319" s="528"/>
      <c r="BX319" s="528"/>
      <c r="BY319" s="528"/>
      <c r="BZ319" s="528"/>
      <c r="CA319" s="528"/>
      <c r="CB319" s="528"/>
      <c r="CC319" s="528"/>
      <c r="CD319" s="528"/>
      <c r="CE319" s="528"/>
      <c r="CF319" s="528"/>
      <c r="CG319" s="528"/>
      <c r="CH319" s="528"/>
      <c r="CI319" s="528"/>
      <c r="CJ319" s="528"/>
      <c r="CK319" s="528"/>
      <c r="CL319" s="528"/>
      <c r="CM319" s="528"/>
      <c r="CN319" s="528"/>
      <c r="CO319" s="528"/>
      <c r="CP319" s="528"/>
      <c r="CQ319" s="528"/>
      <c r="CR319" s="528"/>
      <c r="CS319" s="528"/>
      <c r="CT319" s="528"/>
      <c r="CU319" s="528"/>
      <c r="CV319" s="528"/>
      <c r="CW319" s="528"/>
      <c r="CX319" s="528"/>
      <c r="CY319" s="528"/>
      <c r="CZ319" s="528"/>
      <c r="DA319" s="528"/>
      <c r="DB319" s="528"/>
      <c r="DC319" s="528"/>
      <c r="DD319" s="528"/>
      <c r="DE319" s="528"/>
      <c r="DF319" s="528"/>
      <c r="DG319" s="528"/>
      <c r="DH319" s="528"/>
      <c r="DI319" s="528"/>
      <c r="DJ319" s="528"/>
      <c r="DK319" s="528"/>
      <c r="DL319" s="528"/>
      <c r="DM319" s="528"/>
      <c r="DN319" s="528"/>
      <c r="DO319" s="528"/>
      <c r="DP319" s="528"/>
      <c r="DQ319" s="528"/>
      <c r="DR319" s="528"/>
      <c r="DS319" s="528"/>
      <c r="DT319" s="528"/>
      <c r="DU319" s="528"/>
      <c r="DV319" s="528"/>
      <c r="DW319" s="528"/>
      <c r="DX319" s="528"/>
      <c r="DY319" s="528"/>
      <c r="DZ319" s="528"/>
      <c r="EA319" s="528"/>
      <c r="EB319" s="528"/>
      <c r="EC319" s="528"/>
      <c r="ED319" s="528"/>
      <c r="EE319" s="528"/>
      <c r="EF319" s="528"/>
      <c r="EG319" s="528"/>
      <c r="EH319" s="528"/>
      <c r="EI319" s="528"/>
      <c r="EJ319" s="528"/>
      <c r="EK319" s="528"/>
      <c r="EL319" s="528"/>
      <c r="EM319" s="528"/>
      <c r="EN319" s="528"/>
      <c r="EO319" s="528"/>
      <c r="EP319" s="528"/>
      <c r="EQ319" s="528"/>
      <c r="ER319" s="528"/>
      <c r="ES319" s="528"/>
      <c r="ET319" s="528"/>
      <c r="EU319" s="528"/>
      <c r="EV319" s="528"/>
      <c r="EW319" s="528"/>
      <c r="EX319" s="528"/>
      <c r="EY319" s="528"/>
      <c r="EZ319" s="528"/>
      <c r="FA319" s="528"/>
      <c r="FB319" s="528"/>
      <c r="FC319" s="528"/>
      <c r="FD319" s="528"/>
      <c r="FE319" s="528"/>
      <c r="FF319" s="528"/>
      <c r="FG319" s="528"/>
      <c r="FH319" s="528"/>
      <c r="FI319" s="528"/>
      <c r="FJ319" s="528"/>
      <c r="FK319" s="528"/>
      <c r="FL319" s="528"/>
      <c r="FM319" s="528"/>
      <c r="FN319" s="528"/>
      <c r="FO319" s="528"/>
      <c r="FP319" s="528"/>
      <c r="FQ319" s="528"/>
      <c r="FR319" s="528"/>
      <c r="FS319" s="528"/>
      <c r="FT319" s="528"/>
      <c r="FU319" s="528"/>
      <c r="FV319" s="528"/>
      <c r="FW319" s="528"/>
      <c r="FX319" s="528"/>
      <c r="FY319" s="528"/>
      <c r="FZ319" s="528"/>
      <c r="GA319" s="528"/>
      <c r="GB319" s="528"/>
      <c r="GC319" s="528"/>
      <c r="GD319" s="528"/>
      <c r="GE319" s="528"/>
      <c r="GF319" s="528"/>
      <c r="GG319" s="528"/>
      <c r="GH319" s="528"/>
      <c r="GI319" s="528"/>
      <c r="GJ319" s="528"/>
      <c r="GK319" s="528"/>
      <c r="GL319" s="528"/>
      <c r="GM319" s="528"/>
      <c r="GN319" s="528"/>
      <c r="GO319" s="528"/>
      <c r="GP319" s="528"/>
      <c r="GQ319" s="528"/>
      <c r="GR319" s="528"/>
      <c r="GS319" s="528"/>
      <c r="GT319" s="528"/>
      <c r="GU319" s="528"/>
      <c r="GV319" s="528"/>
      <c r="GW319" s="528"/>
      <c r="GX319" s="528"/>
      <c r="GY319" s="528"/>
      <c r="GZ319" s="528"/>
      <c r="HA319" s="528"/>
      <c r="HB319" s="528"/>
      <c r="HC319" s="528"/>
      <c r="HD319" s="528"/>
      <c r="HE319" s="528"/>
      <c r="HF319" s="528"/>
      <c r="HG319" s="528"/>
      <c r="HH319" s="528"/>
      <c r="HI319" s="528"/>
      <c r="HJ319" s="528"/>
      <c r="HK319" s="528"/>
      <c r="HL319" s="528"/>
      <c r="HM319" s="528"/>
      <c r="HN319" s="528"/>
      <c r="HO319" s="528"/>
      <c r="HP319" s="528"/>
      <c r="HQ319" s="528"/>
      <c r="HR319" s="528"/>
      <c r="HS319" s="528"/>
      <c r="HT319" s="528"/>
      <c r="HU319" s="528"/>
      <c r="HV319" s="528"/>
      <c r="HW319" s="528"/>
      <c r="HX319" s="528"/>
      <c r="HY319" s="528"/>
      <c r="HZ319" s="528"/>
      <c r="IA319" s="528"/>
      <c r="IB319" s="528"/>
      <c r="IC319" s="528"/>
      <c r="ID319" s="528"/>
      <c r="IE319" s="528"/>
      <c r="IF319" s="528"/>
      <c r="IG319" s="528"/>
      <c r="IH319" s="528"/>
      <c r="II319" s="528"/>
      <c r="IJ319" s="528"/>
      <c r="IK319" s="528"/>
      <c r="IL319" s="528"/>
      <c r="IM319" s="528"/>
      <c r="IN319" s="528"/>
      <c r="IO319" s="528"/>
      <c r="IP319" s="528"/>
      <c r="IQ319" s="528"/>
      <c r="IR319" s="528"/>
      <c r="IS319" s="528"/>
      <c r="IT319" s="528"/>
      <c r="IU319" s="528"/>
      <c r="IV319" s="528"/>
    </row>
    <row r="320" spans="1:256" s="529" customFormat="1" ht="15" customHeight="1">
      <c r="A320" s="528"/>
      <c r="B320" s="528"/>
      <c r="C320" s="528"/>
      <c r="D320" s="528"/>
      <c r="E320" s="528"/>
      <c r="F320" s="528"/>
      <c r="G320" s="528"/>
      <c r="H320" s="528"/>
      <c r="I320" s="528"/>
      <c r="J320" s="528"/>
      <c r="K320" s="528"/>
      <c r="L320" s="528"/>
      <c r="M320" s="528"/>
      <c r="N320" s="528"/>
      <c r="O320" s="528"/>
      <c r="P320" s="528"/>
      <c r="Q320" s="528"/>
      <c r="R320" s="528"/>
      <c r="S320" s="528"/>
      <c r="T320" s="528"/>
      <c r="U320" s="528"/>
      <c r="V320" s="528"/>
      <c r="W320" s="528"/>
      <c r="X320" s="528"/>
      <c r="Y320" s="528"/>
      <c r="Z320" s="528"/>
      <c r="AA320" s="528"/>
      <c r="AB320" s="528"/>
      <c r="AC320" s="528"/>
      <c r="AD320" s="528"/>
      <c r="AE320" s="528"/>
      <c r="AF320" s="528"/>
      <c r="AG320" s="528"/>
      <c r="AH320" s="528"/>
      <c r="AI320" s="528"/>
      <c r="AJ320" s="528"/>
      <c r="AK320" s="528"/>
      <c r="AL320" s="528"/>
      <c r="AM320" s="528"/>
      <c r="AN320" s="528"/>
      <c r="AO320" s="528"/>
      <c r="AP320" s="528"/>
      <c r="AQ320" s="528"/>
      <c r="AR320" s="528"/>
      <c r="AS320" s="528"/>
      <c r="AT320" s="528"/>
      <c r="AU320" s="528"/>
      <c r="AV320" s="528"/>
      <c r="AW320" s="528"/>
      <c r="AX320" s="528"/>
      <c r="AY320" s="528"/>
      <c r="AZ320" s="528"/>
      <c r="BA320" s="528"/>
      <c r="BB320" s="528"/>
      <c r="BC320" s="528"/>
      <c r="BD320" s="528"/>
      <c r="BE320" s="528"/>
      <c r="BF320" s="528"/>
      <c r="BG320" s="528"/>
      <c r="BH320" s="528"/>
      <c r="BI320" s="528"/>
      <c r="BJ320" s="528"/>
      <c r="BK320" s="528"/>
      <c r="BL320" s="528"/>
      <c r="BM320" s="528"/>
      <c r="BN320" s="528"/>
      <c r="BO320" s="528"/>
      <c r="BP320" s="528"/>
      <c r="BQ320" s="528"/>
      <c r="BR320" s="528"/>
      <c r="BS320" s="528"/>
      <c r="BT320" s="528"/>
      <c r="BU320" s="528"/>
      <c r="BV320" s="528"/>
      <c r="BW320" s="528"/>
      <c r="BX320" s="528"/>
      <c r="BY320" s="528"/>
      <c r="BZ320" s="528"/>
      <c r="CA320" s="528"/>
      <c r="CB320" s="528"/>
      <c r="CC320" s="528"/>
      <c r="CD320" s="528"/>
      <c r="CE320" s="528"/>
      <c r="CF320" s="528"/>
      <c r="CG320" s="528"/>
      <c r="CH320" s="528"/>
      <c r="CI320" s="528"/>
      <c r="CJ320" s="528"/>
      <c r="CK320" s="528"/>
      <c r="CL320" s="528"/>
      <c r="CM320" s="528"/>
      <c r="CN320" s="528"/>
      <c r="CO320" s="528"/>
      <c r="CP320" s="528"/>
      <c r="CQ320" s="528"/>
      <c r="CR320" s="528"/>
      <c r="CS320" s="528"/>
      <c r="CT320" s="528"/>
      <c r="CU320" s="528"/>
      <c r="CV320" s="528"/>
      <c r="CW320" s="528"/>
      <c r="CX320" s="528"/>
      <c r="CY320" s="528"/>
      <c r="CZ320" s="528"/>
      <c r="DA320" s="528"/>
      <c r="DB320" s="528"/>
      <c r="DC320" s="528"/>
      <c r="DD320" s="528"/>
      <c r="DE320" s="528"/>
      <c r="DF320" s="528"/>
      <c r="DG320" s="528"/>
      <c r="DH320" s="528"/>
      <c r="DI320" s="528"/>
      <c r="DJ320" s="528"/>
      <c r="DK320" s="528"/>
      <c r="DL320" s="528"/>
      <c r="DM320" s="528"/>
      <c r="DN320" s="528"/>
      <c r="DO320" s="528"/>
      <c r="DP320" s="528"/>
      <c r="DQ320" s="528"/>
      <c r="DR320" s="528"/>
      <c r="DS320" s="528"/>
      <c r="DT320" s="528"/>
      <c r="DU320" s="528"/>
      <c r="DV320" s="528"/>
      <c r="DW320" s="528"/>
      <c r="DX320" s="528"/>
      <c r="DY320" s="528"/>
      <c r="DZ320" s="528"/>
      <c r="EA320" s="528"/>
      <c r="EB320" s="528"/>
      <c r="EC320" s="528"/>
      <c r="ED320" s="528"/>
      <c r="EE320" s="528"/>
      <c r="EF320" s="528"/>
      <c r="EG320" s="528"/>
      <c r="EH320" s="528"/>
      <c r="EI320" s="528"/>
      <c r="EJ320" s="528"/>
      <c r="EK320" s="528"/>
      <c r="EL320" s="528"/>
      <c r="EM320" s="528"/>
      <c r="EN320" s="528"/>
      <c r="EO320" s="528"/>
      <c r="EP320" s="528"/>
      <c r="EQ320" s="528"/>
      <c r="ER320" s="528"/>
      <c r="ES320" s="528"/>
      <c r="ET320" s="528"/>
      <c r="EU320" s="528"/>
      <c r="EV320" s="528"/>
      <c r="EW320" s="528"/>
      <c r="EX320" s="528"/>
      <c r="EY320" s="528"/>
      <c r="EZ320" s="528"/>
      <c r="FA320" s="528"/>
      <c r="FB320" s="528"/>
      <c r="FC320" s="528"/>
      <c r="FD320" s="528"/>
      <c r="FE320" s="528"/>
      <c r="FF320" s="528"/>
      <c r="FG320" s="528"/>
      <c r="FH320" s="528"/>
      <c r="FI320" s="528"/>
      <c r="FJ320" s="528"/>
      <c r="FK320" s="528"/>
      <c r="FL320" s="528"/>
      <c r="FM320" s="528"/>
      <c r="FN320" s="528"/>
      <c r="FO320" s="528"/>
      <c r="FP320" s="528"/>
      <c r="FQ320" s="528"/>
      <c r="FR320" s="528"/>
      <c r="FS320" s="528"/>
      <c r="FT320" s="528"/>
      <c r="FU320" s="528"/>
      <c r="FV320" s="528"/>
      <c r="FW320" s="528"/>
      <c r="FX320" s="528"/>
      <c r="FY320" s="528"/>
      <c r="FZ320" s="528"/>
      <c r="GA320" s="528"/>
      <c r="GB320" s="528"/>
      <c r="GC320" s="528"/>
      <c r="GD320" s="528"/>
      <c r="GE320" s="528"/>
      <c r="GF320" s="528"/>
      <c r="GG320" s="528"/>
      <c r="GH320" s="528"/>
      <c r="GI320" s="528"/>
      <c r="GJ320" s="528"/>
      <c r="GK320" s="528"/>
      <c r="GL320" s="528"/>
      <c r="GM320" s="528"/>
      <c r="GN320" s="528"/>
      <c r="GO320" s="528"/>
      <c r="GP320" s="528"/>
      <c r="GQ320" s="528"/>
      <c r="GR320" s="528"/>
      <c r="GS320" s="528"/>
      <c r="GT320" s="528"/>
      <c r="GU320" s="528"/>
      <c r="GV320" s="528"/>
      <c r="GW320" s="528"/>
      <c r="GX320" s="528"/>
      <c r="GY320" s="528"/>
      <c r="GZ320" s="528"/>
      <c r="HA320" s="528"/>
      <c r="HB320" s="528"/>
      <c r="HC320" s="528"/>
      <c r="HD320" s="528"/>
      <c r="HE320" s="528"/>
      <c r="HF320" s="528"/>
      <c r="HG320" s="528"/>
      <c r="HH320" s="528"/>
      <c r="HI320" s="528"/>
      <c r="HJ320" s="528"/>
      <c r="HK320" s="528"/>
      <c r="HL320" s="528"/>
      <c r="HM320" s="528"/>
      <c r="HN320" s="528"/>
      <c r="HO320" s="528"/>
      <c r="HP320" s="528"/>
      <c r="HQ320" s="528"/>
      <c r="HR320" s="528"/>
      <c r="HS320" s="528"/>
      <c r="HT320" s="528"/>
      <c r="HU320" s="528"/>
      <c r="HV320" s="528"/>
      <c r="HW320" s="528"/>
      <c r="HX320" s="528"/>
      <c r="HY320" s="528"/>
      <c r="HZ320" s="528"/>
      <c r="IA320" s="528"/>
      <c r="IB320" s="528"/>
      <c r="IC320" s="528"/>
      <c r="ID320" s="528"/>
      <c r="IE320" s="528"/>
      <c r="IF320" s="528"/>
      <c r="IG320" s="528"/>
      <c r="IH320" s="528"/>
      <c r="II320" s="528"/>
      <c r="IJ320" s="528"/>
      <c r="IK320" s="528"/>
      <c r="IL320" s="528"/>
      <c r="IM320" s="528"/>
      <c r="IN320" s="528"/>
      <c r="IO320" s="528"/>
      <c r="IP320" s="528"/>
      <c r="IQ320" s="528"/>
      <c r="IR320" s="528"/>
      <c r="IS320" s="528"/>
      <c r="IT320" s="528"/>
      <c r="IU320" s="528"/>
      <c r="IV320" s="528"/>
    </row>
    <row r="321" spans="1:256" s="529" customFormat="1" ht="15" customHeight="1">
      <c r="A321" s="528"/>
      <c r="B321" s="528"/>
      <c r="C321" s="528"/>
      <c r="D321" s="528"/>
      <c r="E321" s="528"/>
      <c r="F321" s="528"/>
      <c r="G321" s="528"/>
      <c r="H321" s="528"/>
      <c r="I321" s="528"/>
      <c r="J321" s="528"/>
      <c r="K321" s="528"/>
      <c r="L321" s="528"/>
      <c r="M321" s="528"/>
      <c r="N321" s="528"/>
      <c r="O321" s="528"/>
      <c r="P321" s="528"/>
      <c r="Q321" s="528"/>
      <c r="R321" s="528"/>
      <c r="S321" s="528"/>
      <c r="T321" s="528"/>
      <c r="U321" s="528"/>
      <c r="V321" s="528"/>
      <c r="W321" s="528"/>
      <c r="X321" s="528"/>
      <c r="Y321" s="528"/>
      <c r="Z321" s="528"/>
      <c r="AA321" s="528"/>
      <c r="AB321" s="528"/>
      <c r="AC321" s="528"/>
      <c r="AD321" s="528"/>
      <c r="AE321" s="528"/>
      <c r="AF321" s="528"/>
      <c r="AG321" s="528"/>
      <c r="AH321" s="528"/>
      <c r="AI321" s="528"/>
      <c r="AJ321" s="528"/>
      <c r="AK321" s="528"/>
      <c r="AL321" s="528"/>
      <c r="AM321" s="528"/>
      <c r="AN321" s="528"/>
      <c r="AO321" s="528"/>
      <c r="AP321" s="528"/>
      <c r="AQ321" s="528"/>
      <c r="AR321" s="528"/>
      <c r="AS321" s="528"/>
      <c r="AT321" s="528"/>
      <c r="AU321" s="528"/>
      <c r="AV321" s="528"/>
      <c r="AW321" s="528"/>
      <c r="AX321" s="528"/>
      <c r="AY321" s="528"/>
      <c r="AZ321" s="528"/>
      <c r="BA321" s="528"/>
      <c r="BB321" s="528"/>
      <c r="BC321" s="528"/>
      <c r="BD321" s="528"/>
      <c r="BE321" s="528"/>
      <c r="BF321" s="528"/>
      <c r="BG321" s="528"/>
      <c r="BH321" s="528"/>
      <c r="BI321" s="528"/>
      <c r="BJ321" s="528"/>
      <c r="BK321" s="528"/>
      <c r="BL321" s="528"/>
      <c r="BM321" s="528"/>
      <c r="BN321" s="528"/>
      <c r="BO321" s="528"/>
      <c r="BP321" s="528"/>
      <c r="BQ321" s="528"/>
      <c r="BR321" s="528"/>
      <c r="BS321" s="528"/>
      <c r="BT321" s="528"/>
      <c r="BU321" s="528"/>
      <c r="BV321" s="528"/>
      <c r="BW321" s="528"/>
      <c r="BX321" s="528"/>
      <c r="BY321" s="528"/>
      <c r="BZ321" s="528"/>
      <c r="CA321" s="528"/>
      <c r="CB321" s="528"/>
      <c r="CC321" s="528"/>
      <c r="CD321" s="528"/>
      <c r="CE321" s="528"/>
      <c r="CF321" s="528"/>
      <c r="CG321" s="528"/>
      <c r="CH321" s="528"/>
      <c r="CI321" s="528"/>
      <c r="CJ321" s="528"/>
      <c r="CK321" s="528"/>
      <c r="CL321" s="528"/>
      <c r="CM321" s="528"/>
      <c r="CN321" s="528"/>
      <c r="CO321" s="528"/>
      <c r="CP321" s="528"/>
      <c r="CQ321" s="528"/>
      <c r="CR321" s="528"/>
      <c r="CS321" s="528"/>
      <c r="CT321" s="528"/>
      <c r="CU321" s="528"/>
      <c r="CV321" s="528"/>
      <c r="CW321" s="528"/>
      <c r="CX321" s="528"/>
      <c r="CY321" s="528"/>
      <c r="CZ321" s="528"/>
      <c r="DA321" s="528"/>
      <c r="DB321" s="528"/>
      <c r="DC321" s="528"/>
      <c r="DD321" s="528"/>
      <c r="DE321" s="528"/>
      <c r="DF321" s="528"/>
      <c r="DG321" s="528"/>
      <c r="DH321" s="528"/>
      <c r="DI321" s="528"/>
      <c r="DJ321" s="528"/>
      <c r="DK321" s="528"/>
      <c r="DL321" s="528"/>
      <c r="DM321" s="528"/>
      <c r="DN321" s="528"/>
      <c r="DO321" s="528"/>
      <c r="DP321" s="528"/>
      <c r="DQ321" s="528"/>
      <c r="DR321" s="528"/>
      <c r="DS321" s="528"/>
      <c r="DT321" s="528"/>
      <c r="DU321" s="528"/>
      <c r="DV321" s="528"/>
      <c r="DW321" s="528"/>
      <c r="DX321" s="528"/>
      <c r="DY321" s="528"/>
      <c r="DZ321" s="528"/>
      <c r="EA321" s="528"/>
      <c r="EB321" s="528"/>
      <c r="EC321" s="528"/>
      <c r="ED321" s="528"/>
      <c r="EE321" s="528"/>
      <c r="EF321" s="528"/>
      <c r="EG321" s="528"/>
      <c r="EH321" s="528"/>
      <c r="EI321" s="528"/>
      <c r="EJ321" s="528"/>
      <c r="EK321" s="528"/>
      <c r="EL321" s="528"/>
      <c r="EM321" s="528"/>
      <c r="EN321" s="528"/>
      <c r="EO321" s="528"/>
      <c r="EP321" s="528"/>
      <c r="EQ321" s="528"/>
      <c r="ER321" s="528"/>
      <c r="ES321" s="528"/>
      <c r="ET321" s="528"/>
      <c r="EU321" s="528"/>
      <c r="EV321" s="528"/>
      <c r="EW321" s="528"/>
      <c r="EX321" s="528"/>
      <c r="EY321" s="528"/>
      <c r="EZ321" s="528"/>
      <c r="FA321" s="528"/>
      <c r="FB321" s="528"/>
      <c r="FC321" s="528"/>
      <c r="FD321" s="528"/>
      <c r="FE321" s="528"/>
      <c r="FF321" s="528"/>
      <c r="FG321" s="528"/>
      <c r="FH321" s="528"/>
      <c r="FI321" s="528"/>
      <c r="FJ321" s="528"/>
      <c r="FK321" s="528"/>
      <c r="FL321" s="528"/>
      <c r="FM321" s="528"/>
      <c r="FN321" s="528"/>
      <c r="FO321" s="528"/>
      <c r="FP321" s="528"/>
      <c r="FQ321" s="528"/>
      <c r="FR321" s="528"/>
      <c r="FS321" s="528"/>
      <c r="FT321" s="528"/>
      <c r="FU321" s="528"/>
      <c r="FV321" s="528"/>
      <c r="FW321" s="528"/>
      <c r="FX321" s="528"/>
      <c r="FY321" s="528"/>
      <c r="FZ321" s="528"/>
      <c r="GA321" s="528"/>
      <c r="GB321" s="528"/>
      <c r="GC321" s="528"/>
      <c r="GD321" s="528"/>
      <c r="GE321" s="528"/>
      <c r="GF321" s="528"/>
      <c r="GG321" s="528"/>
      <c r="GH321" s="528"/>
      <c r="GI321" s="528"/>
      <c r="GJ321" s="528"/>
      <c r="GK321" s="528"/>
      <c r="GL321" s="528"/>
      <c r="GM321" s="528"/>
      <c r="GN321" s="528"/>
      <c r="GO321" s="528"/>
      <c r="GP321" s="528"/>
      <c r="GQ321" s="528"/>
      <c r="GR321" s="528"/>
      <c r="GS321" s="528"/>
      <c r="GT321" s="528"/>
      <c r="GU321" s="528"/>
      <c r="GV321" s="528"/>
      <c r="GW321" s="528"/>
      <c r="GX321" s="528"/>
      <c r="GY321" s="528"/>
      <c r="GZ321" s="528"/>
      <c r="HA321" s="528"/>
      <c r="HB321" s="528"/>
      <c r="HC321" s="528"/>
      <c r="HD321" s="528"/>
      <c r="HE321" s="528"/>
      <c r="HF321" s="528"/>
      <c r="HG321" s="528"/>
      <c r="HH321" s="528"/>
      <c r="HI321" s="528"/>
      <c r="HJ321" s="528"/>
      <c r="HK321" s="528"/>
      <c r="HL321" s="528"/>
      <c r="HM321" s="528"/>
      <c r="HN321" s="528"/>
      <c r="HO321" s="528"/>
      <c r="HP321" s="528"/>
      <c r="HQ321" s="528"/>
      <c r="HR321" s="528"/>
      <c r="HS321" s="528"/>
      <c r="HT321" s="528"/>
      <c r="HU321" s="528"/>
      <c r="HV321" s="528"/>
      <c r="HW321" s="528"/>
      <c r="HX321" s="528"/>
      <c r="HY321" s="528"/>
      <c r="HZ321" s="528"/>
      <c r="IA321" s="528"/>
      <c r="IB321" s="528"/>
      <c r="IC321" s="528"/>
      <c r="ID321" s="528"/>
      <c r="IE321" s="528"/>
      <c r="IF321" s="528"/>
      <c r="IG321" s="528"/>
      <c r="IH321" s="528"/>
      <c r="II321" s="528"/>
      <c r="IJ321" s="528"/>
      <c r="IK321" s="528"/>
      <c r="IL321" s="528"/>
      <c r="IM321" s="528"/>
      <c r="IN321" s="528"/>
      <c r="IO321" s="528"/>
      <c r="IP321" s="528"/>
      <c r="IQ321" s="528"/>
      <c r="IR321" s="528"/>
      <c r="IS321" s="528"/>
      <c r="IT321" s="528"/>
      <c r="IU321" s="528"/>
      <c r="IV321" s="528"/>
    </row>
    <row r="322" spans="1:256" s="529" customFormat="1" ht="15" customHeight="1">
      <c r="A322" s="528"/>
      <c r="B322" s="528"/>
      <c r="C322" s="528"/>
      <c r="D322" s="528"/>
      <c r="E322" s="528"/>
      <c r="F322" s="528"/>
      <c r="G322" s="528"/>
      <c r="H322" s="528"/>
      <c r="I322" s="528"/>
      <c r="J322" s="528"/>
      <c r="K322" s="528"/>
      <c r="L322" s="528"/>
      <c r="M322" s="528"/>
      <c r="N322" s="528"/>
      <c r="O322" s="528"/>
      <c r="P322" s="528"/>
      <c r="Q322" s="528"/>
      <c r="R322" s="528"/>
      <c r="S322" s="528"/>
      <c r="T322" s="528"/>
      <c r="U322" s="528"/>
      <c r="V322" s="528"/>
      <c r="W322" s="528"/>
      <c r="X322" s="528"/>
      <c r="Y322" s="528"/>
      <c r="Z322" s="528"/>
      <c r="AA322" s="528"/>
      <c r="AB322" s="528"/>
      <c r="AC322" s="528"/>
      <c r="AD322" s="528"/>
      <c r="AE322" s="528"/>
      <c r="AF322" s="528"/>
      <c r="AG322" s="528"/>
      <c r="AH322" s="528"/>
      <c r="AI322" s="528"/>
      <c r="AJ322" s="528"/>
      <c r="AK322" s="528"/>
      <c r="AL322" s="528"/>
      <c r="AM322" s="528"/>
      <c r="AN322" s="528"/>
      <c r="AO322" s="528"/>
      <c r="AP322" s="528"/>
      <c r="AQ322" s="528"/>
      <c r="AR322" s="528"/>
      <c r="AS322" s="528"/>
      <c r="AT322" s="528"/>
      <c r="AU322" s="528"/>
      <c r="AV322" s="528"/>
      <c r="AW322" s="528"/>
      <c r="AX322" s="528"/>
      <c r="AY322" s="528"/>
      <c r="AZ322" s="528"/>
      <c r="BA322" s="528"/>
      <c r="BB322" s="528"/>
      <c r="BC322" s="528"/>
      <c r="BD322" s="528"/>
      <c r="BE322" s="528"/>
      <c r="BF322" s="528"/>
      <c r="BG322" s="528"/>
      <c r="BH322" s="528"/>
      <c r="BI322" s="528"/>
      <c r="BJ322" s="528"/>
      <c r="BK322" s="528"/>
      <c r="BL322" s="528"/>
      <c r="BM322" s="528"/>
      <c r="BN322" s="528"/>
      <c r="BO322" s="528"/>
      <c r="BP322" s="528"/>
      <c r="BQ322" s="528"/>
      <c r="BR322" s="528"/>
      <c r="BS322" s="528"/>
      <c r="BT322" s="528"/>
      <c r="BU322" s="528"/>
      <c r="BV322" s="528"/>
      <c r="BW322" s="528"/>
      <c r="BX322" s="528"/>
      <c r="BY322" s="528"/>
      <c r="BZ322" s="528"/>
      <c r="CA322" s="528"/>
      <c r="CB322" s="528"/>
      <c r="CC322" s="528"/>
      <c r="CD322" s="528"/>
      <c r="CE322" s="528"/>
      <c r="CF322" s="528"/>
      <c r="CG322" s="528"/>
      <c r="CH322" s="528"/>
      <c r="CI322" s="528"/>
      <c r="CJ322" s="528"/>
      <c r="CK322" s="528"/>
      <c r="CL322" s="528"/>
      <c r="CM322" s="528"/>
      <c r="CN322" s="528"/>
      <c r="CO322" s="528"/>
      <c r="CP322" s="528"/>
      <c r="CQ322" s="528"/>
      <c r="CR322" s="528"/>
      <c r="CS322" s="528"/>
      <c r="CT322" s="528"/>
      <c r="CU322" s="528"/>
      <c r="CV322" s="528"/>
      <c r="CW322" s="528"/>
      <c r="CX322" s="528"/>
      <c r="CY322" s="528"/>
      <c r="CZ322" s="528"/>
      <c r="DA322" s="528"/>
      <c r="DB322" s="528"/>
      <c r="DC322" s="528"/>
      <c r="DD322" s="528"/>
      <c r="DE322" s="528"/>
      <c r="DF322" s="528"/>
      <c r="DG322" s="528"/>
      <c r="DH322" s="528"/>
      <c r="DI322" s="528"/>
      <c r="DJ322" s="528"/>
      <c r="DK322" s="528"/>
      <c r="DL322" s="528"/>
      <c r="DM322" s="528"/>
      <c r="DN322" s="528"/>
      <c r="DO322" s="528"/>
      <c r="DP322" s="528"/>
      <c r="DQ322" s="528"/>
      <c r="DR322" s="528"/>
      <c r="DS322" s="528"/>
      <c r="DT322" s="528"/>
      <c r="DU322" s="528"/>
      <c r="DV322" s="528"/>
      <c r="DW322" s="528"/>
      <c r="DX322" s="528"/>
      <c r="DY322" s="528"/>
      <c r="DZ322" s="528"/>
      <c r="EA322" s="528"/>
      <c r="EB322" s="528"/>
      <c r="EC322" s="528"/>
      <c r="ED322" s="528"/>
      <c r="EE322" s="528"/>
      <c r="EF322" s="528"/>
      <c r="EG322" s="528"/>
      <c r="EH322" s="528"/>
      <c r="EI322" s="528"/>
      <c r="EJ322" s="528"/>
      <c r="EK322" s="528"/>
      <c r="EL322" s="528"/>
      <c r="EM322" s="528"/>
      <c r="EN322" s="528"/>
      <c r="EO322" s="528"/>
      <c r="EP322" s="528"/>
      <c r="EQ322" s="528"/>
      <c r="ER322" s="528"/>
      <c r="ES322" s="528"/>
      <c r="ET322" s="528"/>
      <c r="EU322" s="528"/>
      <c r="EV322" s="528"/>
      <c r="EW322" s="528"/>
      <c r="EX322" s="528"/>
      <c r="EY322" s="528"/>
      <c r="EZ322" s="528"/>
      <c r="FA322" s="528"/>
      <c r="FB322" s="528"/>
      <c r="FC322" s="528"/>
      <c r="FD322" s="528"/>
      <c r="FE322" s="528"/>
      <c r="FF322" s="528"/>
      <c r="FG322" s="528"/>
      <c r="FH322" s="528"/>
      <c r="FI322" s="528"/>
      <c r="FJ322" s="528"/>
      <c r="FK322" s="528"/>
      <c r="FL322" s="528"/>
      <c r="FM322" s="528"/>
      <c r="FN322" s="528"/>
      <c r="FO322" s="528"/>
      <c r="FP322" s="528"/>
      <c r="FQ322" s="528"/>
      <c r="FR322" s="528"/>
      <c r="FS322" s="528"/>
      <c r="FT322" s="528"/>
      <c r="FU322" s="528"/>
      <c r="FV322" s="528"/>
      <c r="FW322" s="528"/>
      <c r="FX322" s="528"/>
      <c r="FY322" s="528"/>
      <c r="FZ322" s="528"/>
      <c r="GA322" s="528"/>
      <c r="GB322" s="528"/>
      <c r="GC322" s="528"/>
      <c r="GD322" s="528"/>
      <c r="GE322" s="528"/>
      <c r="GF322" s="528"/>
      <c r="GG322" s="528"/>
      <c r="GH322" s="528"/>
      <c r="GI322" s="528"/>
      <c r="GJ322" s="528"/>
      <c r="GK322" s="528"/>
      <c r="GL322" s="528"/>
      <c r="GM322" s="528"/>
      <c r="GN322" s="528"/>
      <c r="GO322" s="528"/>
      <c r="GP322" s="528"/>
      <c r="GQ322" s="528"/>
      <c r="GR322" s="528"/>
      <c r="GS322" s="528"/>
      <c r="GT322" s="528"/>
      <c r="GU322" s="528"/>
      <c r="GV322" s="528"/>
      <c r="GW322" s="528"/>
      <c r="GX322" s="528"/>
      <c r="GY322" s="528"/>
      <c r="GZ322" s="528"/>
      <c r="HA322" s="528"/>
      <c r="HB322" s="528"/>
      <c r="HC322" s="528"/>
      <c r="HD322" s="528"/>
      <c r="HE322" s="528"/>
      <c r="HF322" s="528"/>
      <c r="HG322" s="528"/>
      <c r="HH322" s="528"/>
      <c r="HI322" s="528"/>
      <c r="HJ322" s="528"/>
      <c r="HK322" s="528"/>
      <c r="HL322" s="528"/>
      <c r="HM322" s="528"/>
      <c r="HN322" s="528"/>
      <c r="HO322" s="528"/>
      <c r="HP322" s="528"/>
      <c r="HQ322" s="528"/>
      <c r="HR322" s="528"/>
      <c r="HS322" s="528"/>
      <c r="HT322" s="528"/>
      <c r="HU322" s="528"/>
      <c r="HV322" s="528"/>
      <c r="HW322" s="528"/>
      <c r="HX322" s="528"/>
      <c r="HY322" s="528"/>
      <c r="HZ322" s="528"/>
      <c r="IA322" s="528"/>
      <c r="IB322" s="528"/>
      <c r="IC322" s="528"/>
      <c r="ID322" s="528"/>
      <c r="IE322" s="528"/>
      <c r="IF322" s="528"/>
      <c r="IG322" s="528"/>
      <c r="IH322" s="528"/>
      <c r="II322" s="528"/>
      <c r="IJ322" s="528"/>
      <c r="IK322" s="528"/>
      <c r="IL322" s="528"/>
      <c r="IM322" s="528"/>
      <c r="IN322" s="528"/>
      <c r="IO322" s="528"/>
      <c r="IP322" s="528"/>
      <c r="IQ322" s="528"/>
      <c r="IR322" s="528"/>
      <c r="IS322" s="528"/>
      <c r="IT322" s="528"/>
      <c r="IU322" s="528"/>
      <c r="IV322" s="528"/>
    </row>
    <row r="323" spans="1:256" s="529" customFormat="1" ht="15" customHeight="1">
      <c r="A323" s="528"/>
      <c r="B323" s="528"/>
      <c r="C323" s="528"/>
      <c r="D323" s="528"/>
      <c r="E323" s="528"/>
      <c r="F323" s="528"/>
      <c r="G323" s="528"/>
      <c r="H323" s="528"/>
      <c r="I323" s="528"/>
      <c r="J323" s="528"/>
      <c r="K323" s="528"/>
      <c r="L323" s="528"/>
      <c r="M323" s="528"/>
      <c r="N323" s="528"/>
      <c r="O323" s="528"/>
      <c r="P323" s="528"/>
      <c r="Q323" s="528"/>
      <c r="R323" s="528"/>
      <c r="S323" s="528"/>
      <c r="T323" s="528"/>
      <c r="U323" s="528"/>
      <c r="V323" s="528"/>
      <c r="W323" s="528"/>
      <c r="X323" s="528"/>
      <c r="Y323" s="528"/>
      <c r="Z323" s="528"/>
      <c r="AA323" s="528"/>
      <c r="AB323" s="528"/>
      <c r="AC323" s="528"/>
      <c r="AD323" s="528"/>
      <c r="AE323" s="528"/>
      <c r="AF323" s="528"/>
      <c r="AG323" s="528"/>
      <c r="AH323" s="528"/>
      <c r="AI323" s="528"/>
      <c r="AJ323" s="528"/>
      <c r="AK323" s="528"/>
      <c r="AL323" s="528"/>
      <c r="AM323" s="528"/>
      <c r="AN323" s="528"/>
      <c r="AO323" s="528"/>
      <c r="AP323" s="528"/>
      <c r="AQ323" s="528"/>
      <c r="AR323" s="528"/>
      <c r="AS323" s="528"/>
      <c r="AT323" s="528"/>
      <c r="AU323" s="528"/>
      <c r="AV323" s="528"/>
      <c r="AW323" s="528"/>
      <c r="AX323" s="528"/>
      <c r="AY323" s="528"/>
      <c r="AZ323" s="528"/>
      <c r="BA323" s="528"/>
      <c r="BB323" s="528"/>
      <c r="BC323" s="528"/>
      <c r="BD323" s="528"/>
      <c r="BE323" s="528"/>
      <c r="BF323" s="528"/>
      <c r="BG323" s="528"/>
      <c r="BH323" s="528"/>
      <c r="BI323" s="528"/>
      <c r="BJ323" s="528"/>
      <c r="BK323" s="528"/>
      <c r="BL323" s="528"/>
      <c r="BM323" s="528"/>
      <c r="BN323" s="528"/>
      <c r="BO323" s="528"/>
      <c r="BP323" s="528"/>
      <c r="BQ323" s="528"/>
      <c r="BR323" s="528"/>
      <c r="BS323" s="528"/>
      <c r="BT323" s="528"/>
      <c r="BU323" s="528"/>
      <c r="BV323" s="528"/>
      <c r="BW323" s="528"/>
      <c r="BX323" s="528"/>
      <c r="BY323" s="528"/>
      <c r="BZ323" s="528"/>
      <c r="CA323" s="528"/>
      <c r="CB323" s="528"/>
      <c r="CC323" s="528"/>
      <c r="CD323" s="528"/>
      <c r="CE323" s="528"/>
      <c r="CF323" s="528"/>
      <c r="CG323" s="528"/>
      <c r="CH323" s="528"/>
      <c r="CI323" s="528"/>
      <c r="CJ323" s="528"/>
      <c r="CK323" s="528"/>
      <c r="CL323" s="528"/>
      <c r="CM323" s="528"/>
      <c r="CN323" s="528"/>
      <c r="CO323" s="528"/>
      <c r="CP323" s="528"/>
      <c r="CQ323" s="528"/>
      <c r="CR323" s="528"/>
      <c r="CS323" s="528"/>
      <c r="CT323" s="528"/>
      <c r="CU323" s="528"/>
      <c r="CV323" s="528"/>
      <c r="CW323" s="528"/>
      <c r="CX323" s="528"/>
      <c r="CY323" s="528"/>
      <c r="CZ323" s="528"/>
      <c r="DA323" s="528"/>
      <c r="DB323" s="528"/>
      <c r="DC323" s="528"/>
      <c r="DD323" s="528"/>
      <c r="DE323" s="528"/>
      <c r="DF323" s="528"/>
      <c r="DG323" s="528"/>
      <c r="DH323" s="528"/>
      <c r="DI323" s="528"/>
      <c r="DJ323" s="528"/>
      <c r="DK323" s="528"/>
      <c r="DL323" s="528"/>
      <c r="DM323" s="528"/>
      <c r="DN323" s="528"/>
      <c r="DO323" s="528"/>
      <c r="DP323" s="528"/>
      <c r="DQ323" s="528"/>
      <c r="DR323" s="528"/>
      <c r="DS323" s="528"/>
      <c r="DT323" s="528"/>
      <c r="DU323" s="528"/>
      <c r="DV323" s="528"/>
      <c r="DW323" s="528"/>
      <c r="DX323" s="528"/>
      <c r="DY323" s="528"/>
      <c r="DZ323" s="528"/>
      <c r="EA323" s="528"/>
      <c r="EB323" s="528"/>
      <c r="EC323" s="528"/>
      <c r="ED323" s="528"/>
      <c r="EE323" s="528"/>
      <c r="EF323" s="528"/>
      <c r="EG323" s="528"/>
      <c r="EH323" s="528"/>
      <c r="EI323" s="528"/>
      <c r="EJ323" s="528"/>
      <c r="EK323" s="528"/>
      <c r="EL323" s="528"/>
      <c r="EM323" s="528"/>
      <c r="EN323" s="528"/>
      <c r="EO323" s="528"/>
      <c r="EP323" s="528"/>
      <c r="EQ323" s="528"/>
      <c r="ER323" s="528"/>
      <c r="ES323" s="528"/>
      <c r="ET323" s="528"/>
      <c r="EU323" s="528"/>
      <c r="EV323" s="528"/>
      <c r="EW323" s="528"/>
      <c r="EX323" s="528"/>
      <c r="EY323" s="528"/>
      <c r="EZ323" s="528"/>
      <c r="FA323" s="528"/>
      <c r="FB323" s="528"/>
      <c r="FC323" s="528"/>
      <c r="FD323" s="528"/>
      <c r="FE323" s="528"/>
      <c r="FF323" s="528"/>
      <c r="FG323" s="528"/>
      <c r="FH323" s="528"/>
      <c r="FI323" s="528"/>
      <c r="FJ323" s="528"/>
      <c r="FK323" s="528"/>
      <c r="FL323" s="528"/>
      <c r="FM323" s="528"/>
      <c r="FN323" s="528"/>
      <c r="FO323" s="528"/>
      <c r="FP323" s="528"/>
      <c r="FQ323" s="528"/>
      <c r="FR323" s="528"/>
      <c r="FS323" s="528"/>
      <c r="FT323" s="528"/>
      <c r="FU323" s="528"/>
      <c r="FV323" s="528"/>
      <c r="FW323" s="528"/>
      <c r="FX323" s="528"/>
      <c r="FY323" s="528"/>
      <c r="FZ323" s="528"/>
      <c r="GA323" s="528"/>
      <c r="GB323" s="528"/>
      <c r="GC323" s="528"/>
      <c r="GD323" s="528"/>
      <c r="GE323" s="528"/>
      <c r="GF323" s="528"/>
      <c r="GG323" s="528"/>
      <c r="GH323" s="528"/>
      <c r="GI323" s="528"/>
      <c r="GJ323" s="528"/>
      <c r="GK323" s="528"/>
      <c r="GL323" s="528"/>
      <c r="GM323" s="528"/>
      <c r="GN323" s="528"/>
      <c r="GO323" s="528"/>
      <c r="GP323" s="528"/>
      <c r="GQ323" s="528"/>
      <c r="GR323" s="528"/>
      <c r="GS323" s="528"/>
      <c r="GT323" s="528"/>
      <c r="GU323" s="528"/>
      <c r="GV323" s="528"/>
      <c r="GW323" s="528"/>
      <c r="GX323" s="528"/>
      <c r="GY323" s="528"/>
      <c r="GZ323" s="528"/>
      <c r="HA323" s="528"/>
      <c r="HB323" s="528"/>
      <c r="HC323" s="528"/>
      <c r="HD323" s="528"/>
      <c r="HE323" s="528"/>
      <c r="HF323" s="528"/>
      <c r="HG323" s="528"/>
      <c r="HH323" s="528"/>
      <c r="HI323" s="528"/>
      <c r="HJ323" s="528"/>
      <c r="HK323" s="528"/>
      <c r="HL323" s="528"/>
      <c r="HM323" s="528"/>
      <c r="HN323" s="528"/>
      <c r="HO323" s="528"/>
      <c r="HP323" s="528"/>
      <c r="HQ323" s="528"/>
      <c r="HR323" s="528"/>
      <c r="HS323" s="528"/>
      <c r="HT323" s="528"/>
      <c r="HU323" s="528"/>
      <c r="HV323" s="528"/>
      <c r="HW323" s="528"/>
      <c r="HX323" s="528"/>
      <c r="HY323" s="528"/>
      <c r="HZ323" s="528"/>
      <c r="IA323" s="528"/>
      <c r="IB323" s="528"/>
      <c r="IC323" s="528"/>
      <c r="ID323" s="528"/>
      <c r="IE323" s="528"/>
      <c r="IF323" s="528"/>
      <c r="IG323" s="528"/>
      <c r="IH323" s="528"/>
      <c r="II323" s="528"/>
      <c r="IJ323" s="528"/>
      <c r="IK323" s="528"/>
      <c r="IL323" s="528"/>
      <c r="IM323" s="528"/>
      <c r="IN323" s="528"/>
      <c r="IO323" s="528"/>
      <c r="IP323" s="528"/>
      <c r="IQ323" s="528"/>
      <c r="IR323" s="528"/>
      <c r="IS323" s="528"/>
      <c r="IT323" s="528"/>
      <c r="IU323" s="528"/>
      <c r="IV323" s="528"/>
    </row>
    <row r="324" spans="1:256" s="529" customFormat="1" ht="15" customHeight="1">
      <c r="A324" s="528"/>
      <c r="B324" s="528"/>
      <c r="C324" s="528"/>
      <c r="D324" s="528"/>
      <c r="E324" s="528"/>
      <c r="F324" s="528"/>
      <c r="G324" s="528"/>
      <c r="H324" s="528"/>
      <c r="I324" s="528"/>
      <c r="J324" s="528"/>
      <c r="K324" s="528"/>
      <c r="L324" s="528"/>
      <c r="M324" s="528"/>
      <c r="N324" s="528"/>
      <c r="O324" s="528"/>
      <c r="P324" s="528"/>
      <c r="Q324" s="528"/>
      <c r="R324" s="528"/>
      <c r="S324" s="528"/>
      <c r="T324" s="528"/>
      <c r="U324" s="528"/>
      <c r="V324" s="528"/>
      <c r="W324" s="528"/>
      <c r="X324" s="528"/>
      <c r="Y324" s="528"/>
      <c r="Z324" s="528"/>
      <c r="AA324" s="528"/>
      <c r="AB324" s="528"/>
      <c r="AC324" s="528"/>
      <c r="AD324" s="528"/>
      <c r="AE324" s="528"/>
      <c r="AF324" s="528"/>
      <c r="AG324" s="528"/>
      <c r="AH324" s="528"/>
      <c r="AI324" s="528"/>
      <c r="AJ324" s="528"/>
      <c r="AK324" s="528"/>
      <c r="AL324" s="528"/>
      <c r="AM324" s="528"/>
      <c r="AN324" s="528"/>
      <c r="AO324" s="528"/>
      <c r="AP324" s="528"/>
      <c r="AQ324" s="528"/>
      <c r="AR324" s="528"/>
      <c r="AS324" s="528"/>
      <c r="AT324" s="528"/>
      <c r="AU324" s="528"/>
      <c r="AV324" s="528"/>
      <c r="AW324" s="528"/>
      <c r="AX324" s="528"/>
      <c r="AY324" s="528"/>
      <c r="AZ324" s="528"/>
      <c r="BA324" s="528"/>
      <c r="BB324" s="528"/>
      <c r="BC324" s="528"/>
      <c r="BD324" s="528"/>
      <c r="BE324" s="528"/>
      <c r="BF324" s="528"/>
      <c r="BG324" s="528"/>
      <c r="BH324" s="528"/>
      <c r="BI324" s="528"/>
      <c r="BJ324" s="528"/>
      <c r="BK324" s="528"/>
      <c r="BL324" s="528"/>
      <c r="BM324" s="528"/>
      <c r="BN324" s="528"/>
      <c r="BO324" s="528"/>
      <c r="BP324" s="528"/>
      <c r="BQ324" s="528"/>
      <c r="BR324" s="528"/>
      <c r="BS324" s="528"/>
      <c r="BT324" s="528"/>
      <c r="BU324" s="528"/>
      <c r="BV324" s="528"/>
      <c r="BW324" s="528"/>
      <c r="BX324" s="528"/>
      <c r="BY324" s="528"/>
      <c r="BZ324" s="528"/>
      <c r="CA324" s="528"/>
      <c r="CB324" s="528"/>
      <c r="CC324" s="528"/>
      <c r="CD324" s="528"/>
      <c r="CE324" s="528"/>
      <c r="CF324" s="528"/>
      <c r="CG324" s="528"/>
      <c r="CH324" s="528"/>
      <c r="CI324" s="528"/>
      <c r="CJ324" s="528"/>
      <c r="CK324" s="528"/>
      <c r="CL324" s="528"/>
      <c r="CM324" s="528"/>
      <c r="CN324" s="528"/>
      <c r="CO324" s="528"/>
      <c r="CP324" s="528"/>
      <c r="CQ324" s="528"/>
      <c r="CR324" s="528"/>
      <c r="CS324" s="528"/>
      <c r="CT324" s="528"/>
      <c r="CU324" s="528"/>
      <c r="CV324" s="528"/>
      <c r="CW324" s="528"/>
      <c r="CX324" s="528"/>
      <c r="CY324" s="528"/>
      <c r="CZ324" s="528"/>
      <c r="DA324" s="528"/>
      <c r="DB324" s="528"/>
      <c r="DC324" s="528"/>
      <c r="DD324" s="528"/>
      <c r="DE324" s="528"/>
      <c r="DF324" s="528"/>
      <c r="DG324" s="528"/>
      <c r="DH324" s="528"/>
      <c r="DI324" s="528"/>
      <c r="DJ324" s="528"/>
      <c r="DK324" s="528"/>
      <c r="DL324" s="528"/>
      <c r="DM324" s="528"/>
      <c r="DN324" s="528"/>
      <c r="DO324" s="528"/>
      <c r="DP324" s="528"/>
      <c r="DQ324" s="528"/>
      <c r="DR324" s="528"/>
      <c r="DS324" s="528"/>
      <c r="DT324" s="528"/>
      <c r="DU324" s="528"/>
      <c r="DV324" s="528"/>
      <c r="DW324" s="528"/>
      <c r="DX324" s="528"/>
      <c r="DY324" s="528"/>
      <c r="DZ324" s="528"/>
      <c r="EA324" s="528"/>
      <c r="EB324" s="528"/>
      <c r="EC324" s="528"/>
      <c r="ED324" s="528"/>
      <c r="EE324" s="528"/>
      <c r="EF324" s="528"/>
      <c r="EG324" s="528"/>
      <c r="EH324" s="528"/>
      <c r="EI324" s="528"/>
      <c r="EJ324" s="528"/>
      <c r="EK324" s="528"/>
      <c r="EL324" s="528"/>
      <c r="EM324" s="528"/>
      <c r="EN324" s="528"/>
      <c r="EO324" s="528"/>
      <c r="EP324" s="528"/>
      <c r="EQ324" s="528"/>
      <c r="ER324" s="528"/>
      <c r="ES324" s="528"/>
      <c r="ET324" s="528"/>
      <c r="EU324" s="528"/>
      <c r="EV324" s="528"/>
      <c r="EW324" s="528"/>
      <c r="EX324" s="528"/>
      <c r="EY324" s="528"/>
      <c r="EZ324" s="528"/>
      <c r="FA324" s="528"/>
      <c r="FB324" s="528"/>
      <c r="FC324" s="528"/>
      <c r="FD324" s="528"/>
      <c r="FE324" s="528"/>
      <c r="FF324" s="528"/>
      <c r="FG324" s="528"/>
      <c r="FH324" s="528"/>
      <c r="FI324" s="528"/>
      <c r="FJ324" s="528"/>
      <c r="FK324" s="528"/>
      <c r="FL324" s="528"/>
      <c r="FM324" s="528"/>
      <c r="FN324" s="528"/>
      <c r="FO324" s="528"/>
      <c r="FP324" s="528"/>
      <c r="FQ324" s="528"/>
      <c r="FR324" s="528"/>
      <c r="FS324" s="528"/>
      <c r="FT324" s="528"/>
      <c r="FU324" s="528"/>
      <c r="FV324" s="528"/>
      <c r="FW324" s="528"/>
      <c r="FX324" s="528"/>
      <c r="FY324" s="528"/>
      <c r="FZ324" s="528"/>
      <c r="GA324" s="528"/>
      <c r="GB324" s="528"/>
      <c r="GC324" s="528"/>
      <c r="GD324" s="528"/>
      <c r="GE324" s="528"/>
      <c r="GF324" s="528"/>
      <c r="GG324" s="528"/>
      <c r="GH324" s="528"/>
      <c r="GI324" s="528"/>
      <c r="GJ324" s="528"/>
      <c r="GK324" s="528"/>
      <c r="GL324" s="528"/>
      <c r="GM324" s="528"/>
      <c r="GN324" s="528"/>
      <c r="GO324" s="528"/>
      <c r="GP324" s="528"/>
      <c r="GQ324" s="528"/>
      <c r="GR324" s="528"/>
      <c r="GS324" s="528"/>
      <c r="GT324" s="528"/>
      <c r="GU324" s="528"/>
      <c r="GV324" s="528"/>
      <c r="GW324" s="528"/>
      <c r="GX324" s="528"/>
      <c r="GY324" s="528"/>
      <c r="GZ324" s="528"/>
      <c r="HA324" s="528"/>
      <c r="HB324" s="528"/>
      <c r="HC324" s="528"/>
      <c r="HD324" s="528"/>
      <c r="HE324" s="528"/>
      <c r="HF324" s="528"/>
      <c r="HG324" s="528"/>
      <c r="HH324" s="528"/>
      <c r="HI324" s="528"/>
      <c r="HJ324" s="528"/>
      <c r="HK324" s="528"/>
      <c r="HL324" s="528"/>
      <c r="HM324" s="528"/>
      <c r="HN324" s="528"/>
      <c r="HO324" s="528"/>
      <c r="HP324" s="528"/>
      <c r="HQ324" s="528"/>
      <c r="HR324" s="528"/>
      <c r="HS324" s="528"/>
      <c r="HT324" s="528"/>
      <c r="HU324" s="528"/>
      <c r="HV324" s="528"/>
      <c r="HW324" s="528"/>
      <c r="HX324" s="528"/>
      <c r="HY324" s="528"/>
      <c r="HZ324" s="528"/>
      <c r="IA324" s="528"/>
      <c r="IB324" s="528"/>
      <c r="IC324" s="528"/>
      <c r="ID324" s="528"/>
      <c r="IE324" s="528"/>
      <c r="IF324" s="528"/>
      <c r="IG324" s="528"/>
      <c r="IH324" s="528"/>
      <c r="II324" s="528"/>
      <c r="IJ324" s="528"/>
      <c r="IK324" s="528"/>
      <c r="IL324" s="528"/>
      <c r="IM324" s="528"/>
      <c r="IN324" s="528"/>
      <c r="IO324" s="528"/>
      <c r="IP324" s="528"/>
      <c r="IQ324" s="528"/>
      <c r="IR324" s="528"/>
      <c r="IS324" s="528"/>
      <c r="IT324" s="528"/>
      <c r="IU324" s="528"/>
      <c r="IV324" s="528"/>
    </row>
    <row r="325" spans="1:256" s="529" customFormat="1" ht="15" customHeight="1">
      <c r="A325" s="528"/>
      <c r="B325" s="528"/>
      <c r="C325" s="528"/>
      <c r="D325" s="528"/>
      <c r="E325" s="528"/>
      <c r="F325" s="528"/>
      <c r="G325" s="528"/>
      <c r="H325" s="528"/>
      <c r="I325" s="528"/>
      <c r="J325" s="528"/>
      <c r="K325" s="528"/>
      <c r="L325" s="528"/>
      <c r="M325" s="528"/>
      <c r="N325" s="528"/>
      <c r="O325" s="528"/>
      <c r="P325" s="528"/>
      <c r="Q325" s="528"/>
      <c r="R325" s="528"/>
      <c r="S325" s="528"/>
      <c r="T325" s="528"/>
      <c r="U325" s="528"/>
      <c r="V325" s="528"/>
      <c r="W325" s="528"/>
      <c r="X325" s="528"/>
      <c r="Y325" s="528"/>
      <c r="Z325" s="528"/>
      <c r="AA325" s="528"/>
      <c r="AB325" s="528"/>
      <c r="AC325" s="528"/>
      <c r="AD325" s="528"/>
      <c r="AE325" s="528"/>
      <c r="AF325" s="528"/>
      <c r="AG325" s="528"/>
      <c r="AH325" s="528"/>
      <c r="AI325" s="528"/>
      <c r="AJ325" s="528"/>
      <c r="AK325" s="528"/>
      <c r="AL325" s="528"/>
      <c r="AM325" s="528"/>
      <c r="AN325" s="528"/>
      <c r="AO325" s="528"/>
      <c r="AP325" s="528"/>
      <c r="AQ325" s="528"/>
      <c r="AR325" s="528"/>
      <c r="AS325" s="528"/>
      <c r="AT325" s="528"/>
      <c r="AU325" s="528"/>
      <c r="AV325" s="528"/>
      <c r="AW325" s="528"/>
      <c r="AX325" s="528"/>
      <c r="AY325" s="528"/>
      <c r="AZ325" s="528"/>
      <c r="BA325" s="528"/>
      <c r="BB325" s="528"/>
      <c r="BC325" s="528"/>
      <c r="BD325" s="528"/>
      <c r="BE325" s="528"/>
      <c r="BF325" s="528"/>
      <c r="BG325" s="528"/>
      <c r="BH325" s="528"/>
      <c r="BI325" s="528"/>
      <c r="BJ325" s="528"/>
      <c r="BK325" s="528"/>
      <c r="BL325" s="528"/>
      <c r="BM325" s="528"/>
      <c r="BN325" s="528"/>
      <c r="BO325" s="528"/>
      <c r="BP325" s="528"/>
      <c r="BQ325" s="528"/>
      <c r="BR325" s="528"/>
      <c r="BS325" s="528"/>
      <c r="BT325" s="528"/>
      <c r="BU325" s="528"/>
      <c r="BV325" s="528"/>
      <c r="BW325" s="528"/>
      <c r="BX325" s="528"/>
      <c r="BY325" s="528"/>
      <c r="BZ325" s="528"/>
      <c r="CA325" s="528"/>
      <c r="CB325" s="528"/>
      <c r="CC325" s="528"/>
      <c r="CD325" s="528"/>
      <c r="CE325" s="528"/>
      <c r="CF325" s="528"/>
      <c r="CG325" s="528"/>
      <c r="CH325" s="528"/>
      <c r="CI325" s="528"/>
      <c r="CJ325" s="528"/>
      <c r="CK325" s="528"/>
      <c r="CL325" s="528"/>
      <c r="CM325" s="528"/>
      <c r="CN325" s="528"/>
      <c r="CO325" s="528"/>
      <c r="CP325" s="528"/>
      <c r="CQ325" s="528"/>
      <c r="CR325" s="528"/>
      <c r="CS325" s="528"/>
      <c r="CT325" s="528"/>
      <c r="CU325" s="528"/>
      <c r="CV325" s="528"/>
      <c r="CW325" s="528"/>
      <c r="CX325" s="528"/>
      <c r="CY325" s="528"/>
      <c r="CZ325" s="528"/>
      <c r="DA325" s="528"/>
      <c r="DB325" s="528"/>
      <c r="DC325" s="528"/>
      <c r="DD325" s="528"/>
      <c r="DE325" s="528"/>
      <c r="DF325" s="528"/>
      <c r="DG325" s="528"/>
      <c r="DH325" s="528"/>
      <c r="DI325" s="528"/>
      <c r="DJ325" s="528"/>
      <c r="DK325" s="528"/>
      <c r="DL325" s="528"/>
      <c r="DM325" s="528"/>
      <c r="DN325" s="528"/>
      <c r="DO325" s="528"/>
      <c r="DP325" s="528"/>
      <c r="DQ325" s="528"/>
      <c r="DR325" s="528"/>
      <c r="DS325" s="528"/>
      <c r="DT325" s="528"/>
      <c r="DU325" s="528"/>
      <c r="DV325" s="528"/>
      <c r="DW325" s="528"/>
      <c r="DX325" s="528"/>
      <c r="DY325" s="528"/>
      <c r="DZ325" s="528"/>
      <c r="EA325" s="528"/>
      <c r="EB325" s="528"/>
      <c r="EC325" s="528"/>
      <c r="ED325" s="528"/>
      <c r="EE325" s="528"/>
      <c r="EF325" s="528"/>
      <c r="EG325" s="528"/>
      <c r="EH325" s="528"/>
      <c r="EI325" s="528"/>
      <c r="EJ325" s="528"/>
      <c r="EK325" s="528"/>
      <c r="EL325" s="528"/>
      <c r="EM325" s="528"/>
      <c r="EN325" s="528"/>
      <c r="EO325" s="528"/>
      <c r="EP325" s="528"/>
      <c r="EQ325" s="528"/>
      <c r="ER325" s="528"/>
      <c r="ES325" s="528"/>
      <c r="ET325" s="528"/>
      <c r="EU325" s="528"/>
      <c r="EV325" s="528"/>
      <c r="EW325" s="528"/>
      <c r="EX325" s="528"/>
      <c r="EY325" s="528"/>
      <c r="EZ325" s="528"/>
      <c r="FA325" s="528"/>
      <c r="FB325" s="528"/>
      <c r="FC325" s="528"/>
      <c r="FD325" s="528"/>
      <c r="FE325" s="528"/>
      <c r="FF325" s="528"/>
      <c r="FG325" s="528"/>
      <c r="FH325" s="528"/>
      <c r="FI325" s="528"/>
      <c r="FJ325" s="528"/>
      <c r="FK325" s="528"/>
      <c r="FL325" s="528"/>
      <c r="FM325" s="528"/>
      <c r="FN325" s="528"/>
      <c r="FO325" s="528"/>
      <c r="FP325" s="528"/>
      <c r="FQ325" s="528"/>
      <c r="FR325" s="528"/>
      <c r="FS325" s="528"/>
      <c r="FT325" s="528"/>
      <c r="FU325" s="528"/>
      <c r="FV325" s="528"/>
      <c r="FW325" s="528"/>
      <c r="FX325" s="528"/>
      <c r="FY325" s="528"/>
      <c r="FZ325" s="528"/>
      <c r="GA325" s="528"/>
      <c r="GB325" s="528"/>
      <c r="GC325" s="528"/>
      <c r="GD325" s="528"/>
      <c r="GE325" s="528"/>
      <c r="GF325" s="528"/>
      <c r="GG325" s="528"/>
      <c r="GH325" s="528"/>
      <c r="GI325" s="528"/>
      <c r="GJ325" s="528"/>
      <c r="GK325" s="528"/>
      <c r="GL325" s="528"/>
      <c r="GM325" s="528"/>
      <c r="GN325" s="528"/>
      <c r="GO325" s="528"/>
      <c r="GP325" s="528"/>
      <c r="GQ325" s="528"/>
      <c r="GR325" s="528"/>
      <c r="GS325" s="528"/>
      <c r="GT325" s="528"/>
      <c r="GU325" s="528"/>
      <c r="GV325" s="528"/>
      <c r="GW325" s="528"/>
      <c r="GX325" s="528"/>
      <c r="GY325" s="528"/>
      <c r="GZ325" s="528"/>
      <c r="HA325" s="528"/>
      <c r="HB325" s="528"/>
      <c r="HC325" s="528"/>
      <c r="HD325" s="528"/>
      <c r="HE325" s="528"/>
      <c r="HF325" s="528"/>
      <c r="HG325" s="528"/>
      <c r="HH325" s="528"/>
      <c r="HI325" s="528"/>
      <c r="HJ325" s="528"/>
      <c r="HK325" s="528"/>
      <c r="HL325" s="528"/>
      <c r="HM325" s="528"/>
      <c r="HN325" s="528"/>
      <c r="HO325" s="528"/>
      <c r="HP325" s="528"/>
      <c r="HQ325" s="528"/>
      <c r="HR325" s="528"/>
      <c r="HS325" s="528"/>
      <c r="HT325" s="528"/>
      <c r="HU325" s="528"/>
      <c r="HV325" s="528"/>
      <c r="HW325" s="528"/>
      <c r="HX325" s="528"/>
      <c r="HY325" s="528"/>
      <c r="HZ325" s="528"/>
      <c r="IA325" s="528"/>
      <c r="IB325" s="528"/>
      <c r="IC325" s="528"/>
      <c r="ID325" s="528"/>
      <c r="IE325" s="528"/>
      <c r="IF325" s="528"/>
      <c r="IG325" s="528"/>
      <c r="IH325" s="528"/>
      <c r="II325" s="528"/>
      <c r="IJ325" s="528"/>
      <c r="IK325" s="528"/>
      <c r="IL325" s="528"/>
      <c r="IM325" s="528"/>
      <c r="IN325" s="528"/>
      <c r="IO325" s="528"/>
      <c r="IP325" s="528"/>
      <c r="IQ325" s="528"/>
      <c r="IR325" s="528"/>
      <c r="IS325" s="528"/>
      <c r="IT325" s="528"/>
      <c r="IU325" s="528"/>
      <c r="IV325" s="528"/>
    </row>
    <row r="326" spans="1:256" s="529" customFormat="1" ht="15" customHeight="1">
      <c r="A326" s="528"/>
      <c r="B326" s="528"/>
      <c r="C326" s="528"/>
      <c r="D326" s="528"/>
      <c r="E326" s="528"/>
      <c r="F326" s="528"/>
      <c r="G326" s="528"/>
      <c r="H326" s="528"/>
      <c r="I326" s="528"/>
      <c r="J326" s="528"/>
      <c r="K326" s="528"/>
      <c r="L326" s="528"/>
      <c r="M326" s="528"/>
      <c r="N326" s="528"/>
      <c r="O326" s="528"/>
      <c r="P326" s="528"/>
      <c r="Q326" s="528"/>
      <c r="R326" s="528"/>
      <c r="S326" s="528"/>
      <c r="T326" s="528"/>
      <c r="U326" s="528"/>
      <c r="V326" s="528"/>
      <c r="W326" s="528"/>
      <c r="X326" s="528"/>
      <c r="Y326" s="528"/>
      <c r="Z326" s="528"/>
      <c r="AA326" s="528"/>
      <c r="AB326" s="528"/>
      <c r="AC326" s="528"/>
      <c r="AD326" s="528"/>
      <c r="AE326" s="528"/>
      <c r="AF326" s="528"/>
      <c r="AG326" s="528"/>
      <c r="AH326" s="528"/>
      <c r="AI326" s="528"/>
      <c r="AJ326" s="528"/>
      <c r="AK326" s="528"/>
      <c r="AL326" s="528"/>
      <c r="AM326" s="528"/>
      <c r="AN326" s="528"/>
      <c r="AO326" s="528"/>
      <c r="AP326" s="528"/>
      <c r="AQ326" s="528"/>
      <c r="AR326" s="528"/>
      <c r="AS326" s="528"/>
      <c r="AT326" s="528"/>
      <c r="AU326" s="528"/>
      <c r="AV326" s="528"/>
      <c r="AW326" s="528"/>
      <c r="AX326" s="528"/>
      <c r="AY326" s="528"/>
      <c r="AZ326" s="528"/>
      <c r="BA326" s="528"/>
      <c r="BB326" s="528"/>
      <c r="BC326" s="528"/>
      <c r="BD326" s="528"/>
      <c r="BE326" s="528"/>
      <c r="BF326" s="528"/>
      <c r="BG326" s="528"/>
      <c r="BH326" s="528"/>
      <c r="BI326" s="528"/>
      <c r="BJ326" s="528"/>
      <c r="BK326" s="528"/>
      <c r="BL326" s="528"/>
      <c r="BM326" s="528"/>
      <c r="BN326" s="528"/>
      <c r="BO326" s="528"/>
      <c r="BP326" s="528"/>
      <c r="BQ326" s="528"/>
      <c r="BR326" s="528"/>
      <c r="BS326" s="528"/>
      <c r="BT326" s="528"/>
      <c r="BU326" s="528"/>
      <c r="BV326" s="528"/>
      <c r="BW326" s="528"/>
      <c r="BX326" s="528"/>
      <c r="BY326" s="528"/>
      <c r="BZ326" s="528"/>
      <c r="CA326" s="528"/>
      <c r="CB326" s="528"/>
      <c r="CC326" s="528"/>
      <c r="CD326" s="528"/>
      <c r="CE326" s="528"/>
      <c r="CF326" s="528"/>
      <c r="CG326" s="528"/>
      <c r="CH326" s="528"/>
      <c r="CI326" s="528"/>
      <c r="CJ326" s="528"/>
      <c r="CK326" s="528"/>
      <c r="CL326" s="528"/>
      <c r="CM326" s="528"/>
      <c r="CN326" s="528"/>
      <c r="CO326" s="528"/>
      <c r="CP326" s="528"/>
      <c r="CQ326" s="528"/>
      <c r="CR326" s="528"/>
      <c r="CS326" s="528"/>
      <c r="CT326" s="528"/>
      <c r="CU326" s="528"/>
      <c r="CV326" s="528"/>
      <c r="CW326" s="528"/>
      <c r="CX326" s="528"/>
      <c r="CY326" s="528"/>
      <c r="CZ326" s="528"/>
      <c r="DA326" s="528"/>
      <c r="DB326" s="528"/>
      <c r="DC326" s="528"/>
      <c r="DD326" s="528"/>
      <c r="DE326" s="528"/>
      <c r="DF326" s="528"/>
      <c r="DG326" s="528"/>
      <c r="DH326" s="528"/>
      <c r="DI326" s="528"/>
      <c r="DJ326" s="528"/>
      <c r="DK326" s="528"/>
      <c r="DL326" s="528"/>
      <c r="DM326" s="528"/>
      <c r="DN326" s="528"/>
      <c r="DO326" s="528"/>
      <c r="DP326" s="528"/>
      <c r="DQ326" s="528"/>
      <c r="DR326" s="528"/>
      <c r="DS326" s="528"/>
      <c r="DT326" s="528"/>
      <c r="DU326" s="528"/>
      <c r="DV326" s="528"/>
      <c r="DW326" s="528"/>
      <c r="DX326" s="528"/>
      <c r="DY326" s="528"/>
      <c r="DZ326" s="528"/>
      <c r="EA326" s="528"/>
      <c r="EB326" s="528"/>
      <c r="EC326" s="528"/>
      <c r="ED326" s="528"/>
      <c r="EE326" s="528"/>
      <c r="EF326" s="528"/>
      <c r="EG326" s="528"/>
      <c r="EH326" s="528"/>
      <c r="EI326" s="528"/>
      <c r="EJ326" s="528"/>
      <c r="EK326" s="528"/>
      <c r="EL326" s="528"/>
      <c r="EM326" s="528"/>
      <c r="EN326" s="528"/>
      <c r="EO326" s="528"/>
      <c r="EP326" s="528"/>
      <c r="EQ326" s="528"/>
      <c r="ER326" s="528"/>
      <c r="ES326" s="528"/>
      <c r="ET326" s="528"/>
      <c r="EU326" s="528"/>
      <c r="EV326" s="528"/>
      <c r="EW326" s="528"/>
      <c r="EX326" s="528"/>
      <c r="EY326" s="528"/>
      <c r="EZ326" s="528"/>
      <c r="FA326" s="528"/>
      <c r="FB326" s="528"/>
      <c r="FC326" s="528"/>
      <c r="FD326" s="528"/>
      <c r="FE326" s="528"/>
      <c r="FF326" s="528"/>
      <c r="FG326" s="528"/>
      <c r="FH326" s="528"/>
      <c r="FI326" s="528"/>
      <c r="FJ326" s="528"/>
      <c r="FK326" s="528"/>
      <c r="FL326" s="528"/>
      <c r="FM326" s="528"/>
      <c r="FN326" s="528"/>
      <c r="FO326" s="528"/>
      <c r="FP326" s="528"/>
      <c r="FQ326" s="528"/>
      <c r="FR326" s="528"/>
      <c r="FS326" s="528"/>
      <c r="FT326" s="528"/>
      <c r="FU326" s="528"/>
      <c r="FV326" s="528"/>
      <c r="FW326" s="528"/>
      <c r="FX326" s="528"/>
      <c r="FY326" s="528"/>
      <c r="FZ326" s="528"/>
      <c r="GA326" s="528"/>
      <c r="GB326" s="528"/>
      <c r="GC326" s="528"/>
      <c r="GD326" s="528"/>
      <c r="GE326" s="528"/>
      <c r="GF326" s="528"/>
      <c r="GG326" s="528"/>
      <c r="GH326" s="528"/>
      <c r="GI326" s="528"/>
      <c r="GJ326" s="528"/>
      <c r="GK326" s="528"/>
      <c r="GL326" s="528"/>
      <c r="GM326" s="528"/>
      <c r="GN326" s="528"/>
      <c r="GO326" s="528"/>
      <c r="GP326" s="528"/>
      <c r="GQ326" s="528"/>
      <c r="GR326" s="528"/>
      <c r="GS326" s="528"/>
      <c r="GT326" s="528"/>
      <c r="GU326" s="528"/>
      <c r="GV326" s="528"/>
      <c r="GW326" s="528"/>
      <c r="GX326" s="528"/>
      <c r="GY326" s="528"/>
      <c r="GZ326" s="528"/>
      <c r="HA326" s="528"/>
      <c r="HB326" s="528"/>
      <c r="HC326" s="528"/>
      <c r="HD326" s="528"/>
      <c r="HE326" s="528"/>
      <c r="HF326" s="528"/>
      <c r="HG326" s="528"/>
      <c r="HH326" s="528"/>
      <c r="HI326" s="528"/>
      <c r="HJ326" s="528"/>
      <c r="HK326" s="528"/>
      <c r="HL326" s="528"/>
      <c r="HM326" s="528"/>
      <c r="HN326" s="528"/>
      <c r="HO326" s="528"/>
      <c r="HP326" s="528"/>
      <c r="HQ326" s="528"/>
      <c r="HR326" s="528"/>
      <c r="HS326" s="528"/>
      <c r="HT326" s="528"/>
      <c r="HU326" s="528"/>
      <c r="HV326" s="528"/>
      <c r="HW326" s="528"/>
      <c r="HX326" s="528"/>
      <c r="HY326" s="528"/>
      <c r="HZ326" s="528"/>
      <c r="IA326" s="528"/>
      <c r="IB326" s="528"/>
      <c r="IC326" s="528"/>
      <c r="ID326" s="528"/>
      <c r="IE326" s="528"/>
      <c r="IF326" s="528"/>
      <c r="IG326" s="528"/>
      <c r="IH326" s="528"/>
      <c r="II326" s="528"/>
      <c r="IJ326" s="528"/>
      <c r="IK326" s="528"/>
      <c r="IL326" s="528"/>
      <c r="IM326" s="528"/>
      <c r="IN326" s="528"/>
      <c r="IO326" s="528"/>
      <c r="IP326" s="528"/>
      <c r="IQ326" s="528"/>
      <c r="IR326" s="528"/>
      <c r="IS326" s="528"/>
      <c r="IT326" s="528"/>
      <c r="IU326" s="528"/>
      <c r="IV326" s="528"/>
    </row>
    <row r="327" spans="1:256" s="529" customFormat="1" ht="15" customHeight="1">
      <c r="A327" s="528"/>
      <c r="B327" s="528"/>
      <c r="C327" s="528"/>
      <c r="D327" s="528"/>
      <c r="E327" s="528"/>
      <c r="F327" s="528"/>
      <c r="G327" s="528"/>
      <c r="H327" s="528"/>
      <c r="I327" s="528"/>
      <c r="J327" s="528"/>
      <c r="K327" s="528"/>
      <c r="L327" s="528"/>
      <c r="M327" s="528"/>
      <c r="N327" s="528"/>
      <c r="O327" s="528"/>
      <c r="P327" s="528"/>
      <c r="Q327" s="528"/>
      <c r="R327" s="528"/>
      <c r="S327" s="528"/>
      <c r="T327" s="528"/>
      <c r="U327" s="528"/>
      <c r="V327" s="528"/>
      <c r="W327" s="528"/>
      <c r="X327" s="528"/>
      <c r="Y327" s="528"/>
      <c r="Z327" s="528"/>
      <c r="AA327" s="528"/>
      <c r="AB327" s="528"/>
      <c r="AC327" s="528"/>
      <c r="AD327" s="528"/>
      <c r="AE327" s="528"/>
      <c r="AF327" s="528"/>
      <c r="AG327" s="528"/>
      <c r="AH327" s="528"/>
      <c r="AI327" s="528"/>
      <c r="AJ327" s="528"/>
      <c r="AK327" s="528"/>
      <c r="AL327" s="528"/>
      <c r="AM327" s="528"/>
      <c r="AN327" s="528"/>
      <c r="AO327" s="528"/>
      <c r="AP327" s="528"/>
      <c r="AQ327" s="528"/>
      <c r="AR327" s="528"/>
      <c r="AS327" s="528"/>
      <c r="AT327" s="528"/>
      <c r="AU327" s="528"/>
      <c r="AV327" s="528"/>
      <c r="AW327" s="528"/>
      <c r="AX327" s="528"/>
      <c r="AY327" s="528"/>
      <c r="AZ327" s="528"/>
      <c r="BA327" s="528"/>
      <c r="BB327" s="528"/>
      <c r="BC327" s="528"/>
      <c r="BD327" s="528"/>
      <c r="BE327" s="528"/>
      <c r="BF327" s="528"/>
      <c r="BG327" s="528"/>
      <c r="BH327" s="528"/>
      <c r="BI327" s="528"/>
      <c r="BJ327" s="528"/>
      <c r="BK327" s="528"/>
      <c r="BL327" s="528"/>
      <c r="BM327" s="528"/>
      <c r="BN327" s="528"/>
      <c r="BO327" s="528"/>
      <c r="BP327" s="528"/>
      <c r="BQ327" s="528"/>
      <c r="BR327" s="528"/>
      <c r="BS327" s="528"/>
      <c r="BT327" s="528"/>
      <c r="BU327" s="528"/>
      <c r="BV327" s="528"/>
      <c r="BW327" s="528"/>
      <c r="BX327" s="528"/>
      <c r="BY327" s="528"/>
      <c r="BZ327" s="528"/>
      <c r="CA327" s="528"/>
      <c r="CB327" s="528"/>
      <c r="CC327" s="528"/>
      <c r="CD327" s="528"/>
      <c r="CE327" s="528"/>
      <c r="CF327" s="528"/>
      <c r="CG327" s="528"/>
      <c r="CH327" s="528"/>
      <c r="CI327" s="528"/>
      <c r="CJ327" s="528"/>
      <c r="CK327" s="528"/>
      <c r="CL327" s="528"/>
      <c r="CM327" s="528"/>
      <c r="CN327" s="528"/>
      <c r="CO327" s="528"/>
      <c r="CP327" s="528"/>
      <c r="CQ327" s="528"/>
      <c r="CR327" s="528"/>
      <c r="CS327" s="528"/>
      <c r="CT327" s="528"/>
      <c r="CU327" s="528"/>
      <c r="CV327" s="528"/>
      <c r="CW327" s="528"/>
      <c r="CX327" s="528"/>
      <c r="CY327" s="528"/>
      <c r="CZ327" s="528"/>
      <c r="DA327" s="528"/>
      <c r="DB327" s="528"/>
      <c r="DC327" s="528"/>
      <c r="DD327" s="528"/>
      <c r="DE327" s="528"/>
      <c r="DF327" s="528"/>
      <c r="DG327" s="528"/>
      <c r="DH327" s="528"/>
      <c r="DI327" s="528"/>
      <c r="DJ327" s="528"/>
      <c r="DK327" s="528"/>
      <c r="DL327" s="528"/>
      <c r="DM327" s="528"/>
      <c r="DN327" s="528"/>
      <c r="DO327" s="528"/>
      <c r="DP327" s="528"/>
      <c r="DQ327" s="528"/>
      <c r="DR327" s="528"/>
      <c r="DS327" s="528"/>
      <c r="DT327" s="528"/>
      <c r="DU327" s="528"/>
      <c r="DV327" s="528"/>
      <c r="DW327" s="528"/>
      <c r="DX327" s="528"/>
      <c r="DY327" s="528"/>
      <c r="DZ327" s="528"/>
      <c r="EA327" s="528"/>
      <c r="EB327" s="528"/>
      <c r="EC327" s="528"/>
      <c r="ED327" s="528"/>
      <c r="EE327" s="528"/>
      <c r="EF327" s="528"/>
      <c r="EG327" s="528"/>
      <c r="EH327" s="528"/>
      <c r="EI327" s="528"/>
      <c r="EJ327" s="528"/>
      <c r="EK327" s="528"/>
      <c r="EL327" s="528"/>
      <c r="EM327" s="528"/>
      <c r="EN327" s="528"/>
      <c r="EO327" s="528"/>
      <c r="EP327" s="528"/>
      <c r="EQ327" s="528"/>
      <c r="ER327" s="528"/>
      <c r="ES327" s="528"/>
      <c r="ET327" s="528"/>
      <c r="EU327" s="528"/>
      <c r="EV327" s="528"/>
      <c r="EW327" s="528"/>
      <c r="EX327" s="528"/>
      <c r="EY327" s="528"/>
      <c r="EZ327" s="528"/>
      <c r="FA327" s="528"/>
      <c r="FB327" s="528"/>
      <c r="FC327" s="528"/>
      <c r="FD327" s="528"/>
      <c r="FE327" s="528"/>
      <c r="FF327" s="528"/>
      <c r="FG327" s="528"/>
      <c r="FH327" s="528"/>
      <c r="FI327" s="528"/>
      <c r="FJ327" s="528"/>
      <c r="FK327" s="528"/>
      <c r="FL327" s="528"/>
      <c r="FM327" s="528"/>
      <c r="FN327" s="528"/>
      <c r="FO327" s="528"/>
      <c r="FP327" s="528"/>
      <c r="FQ327" s="528"/>
      <c r="FR327" s="528"/>
      <c r="FS327" s="528"/>
      <c r="FT327" s="528"/>
      <c r="FU327" s="528"/>
      <c r="FV327" s="528"/>
      <c r="FW327" s="528"/>
      <c r="FX327" s="528"/>
      <c r="FY327" s="528"/>
      <c r="FZ327" s="528"/>
      <c r="GA327" s="528"/>
      <c r="GB327" s="528"/>
      <c r="GC327" s="528"/>
      <c r="GD327" s="528"/>
      <c r="GE327" s="528"/>
      <c r="GF327" s="528"/>
      <c r="GG327" s="528"/>
      <c r="GH327" s="528"/>
      <c r="GI327" s="528"/>
      <c r="GJ327" s="528"/>
      <c r="GK327" s="528"/>
      <c r="GL327" s="528"/>
      <c r="GM327" s="528"/>
      <c r="GN327" s="528"/>
      <c r="GO327" s="528"/>
      <c r="GP327" s="528"/>
      <c r="GQ327" s="528"/>
      <c r="GR327" s="528"/>
      <c r="GS327" s="528"/>
      <c r="GT327" s="528"/>
      <c r="GU327" s="528"/>
      <c r="GV327" s="528"/>
      <c r="GW327" s="528"/>
      <c r="GX327" s="528"/>
      <c r="GY327" s="528"/>
      <c r="GZ327" s="528"/>
      <c r="HA327" s="528"/>
      <c r="HB327" s="528"/>
      <c r="HC327" s="528"/>
      <c r="HD327" s="528"/>
      <c r="HE327" s="528"/>
      <c r="HF327" s="528"/>
      <c r="HG327" s="528"/>
      <c r="HH327" s="528"/>
      <c r="HI327" s="528"/>
      <c r="HJ327" s="528"/>
      <c r="HK327" s="528"/>
      <c r="HL327" s="528"/>
      <c r="HM327" s="528"/>
      <c r="HN327" s="528"/>
      <c r="HO327" s="528"/>
      <c r="HP327" s="528"/>
      <c r="HQ327" s="528"/>
      <c r="HR327" s="528"/>
      <c r="HS327" s="528"/>
      <c r="HT327" s="528"/>
      <c r="HU327" s="528"/>
      <c r="HV327" s="528"/>
      <c r="HW327" s="528"/>
      <c r="HX327" s="528"/>
      <c r="HY327" s="528"/>
      <c r="HZ327" s="528"/>
      <c r="IA327" s="528"/>
      <c r="IB327" s="528"/>
      <c r="IC327" s="528"/>
      <c r="ID327" s="528"/>
      <c r="IE327" s="528"/>
      <c r="IF327" s="528"/>
      <c r="IG327" s="528"/>
      <c r="IH327" s="528"/>
      <c r="II327" s="528"/>
      <c r="IJ327" s="528"/>
      <c r="IK327" s="528"/>
      <c r="IL327" s="528"/>
      <c r="IM327" s="528"/>
      <c r="IN327" s="528"/>
      <c r="IO327" s="528"/>
      <c r="IP327" s="528"/>
      <c r="IQ327" s="528"/>
      <c r="IR327" s="528"/>
      <c r="IS327" s="528"/>
      <c r="IT327" s="528"/>
      <c r="IU327" s="528"/>
      <c r="IV327" s="528"/>
    </row>
    <row r="328" spans="1:256" s="529" customFormat="1" ht="15" customHeight="1" thickBot="1">
      <c r="A328" s="528"/>
      <c r="B328" s="528"/>
      <c r="C328" s="528"/>
      <c r="D328" s="528"/>
      <c r="E328" s="528"/>
      <c r="F328" s="528"/>
      <c r="G328" s="528"/>
      <c r="H328" s="528"/>
      <c r="I328" s="528"/>
      <c r="J328" s="528"/>
      <c r="K328" s="528"/>
      <c r="L328" s="528"/>
      <c r="M328" s="528"/>
      <c r="N328" s="528"/>
      <c r="O328" s="528"/>
      <c r="P328" s="528"/>
      <c r="Q328" s="528"/>
      <c r="R328" s="528"/>
      <c r="S328" s="528"/>
      <c r="T328" s="528"/>
      <c r="U328" s="528"/>
      <c r="V328" s="528"/>
      <c r="W328" s="528"/>
      <c r="X328" s="528"/>
      <c r="Y328" s="528"/>
      <c r="Z328" s="528"/>
      <c r="AA328" s="528"/>
      <c r="AB328" s="528"/>
      <c r="AC328" s="528"/>
      <c r="AD328" s="528"/>
      <c r="AE328" s="528"/>
      <c r="AF328" s="528"/>
      <c r="AG328" s="528"/>
      <c r="AH328" s="528"/>
      <c r="AI328" s="528"/>
      <c r="AJ328" s="528"/>
      <c r="AK328" s="528"/>
      <c r="AL328" s="528"/>
      <c r="AM328" s="528"/>
      <c r="AN328" s="528"/>
      <c r="AO328" s="528"/>
      <c r="AP328" s="528"/>
      <c r="AQ328" s="528"/>
      <c r="AR328" s="528"/>
      <c r="AS328" s="528"/>
      <c r="AT328" s="528"/>
      <c r="AU328" s="528"/>
      <c r="AV328" s="528"/>
      <c r="AW328" s="528"/>
      <c r="AX328" s="528"/>
      <c r="AY328" s="528"/>
      <c r="AZ328" s="528"/>
      <c r="BA328" s="528"/>
      <c r="BB328" s="528"/>
      <c r="BC328" s="528"/>
      <c r="BD328" s="528"/>
      <c r="BE328" s="528"/>
      <c r="BF328" s="528"/>
      <c r="BG328" s="528"/>
      <c r="BH328" s="528"/>
      <c r="BI328" s="528"/>
      <c r="BJ328" s="528"/>
      <c r="BK328" s="528"/>
      <c r="BL328" s="528"/>
      <c r="BM328" s="528"/>
      <c r="BN328" s="528"/>
      <c r="BO328" s="528"/>
      <c r="BP328" s="528"/>
      <c r="BQ328" s="528"/>
      <c r="BR328" s="528"/>
      <c r="BS328" s="528"/>
      <c r="BT328" s="528"/>
      <c r="BU328" s="528"/>
      <c r="BV328" s="528"/>
      <c r="BW328" s="528"/>
      <c r="BX328" s="528"/>
      <c r="BY328" s="528"/>
      <c r="BZ328" s="528"/>
      <c r="CA328" s="528"/>
      <c r="CB328" s="528"/>
      <c r="CC328" s="528"/>
      <c r="CD328" s="528"/>
      <c r="CE328" s="528"/>
      <c r="CF328" s="528"/>
      <c r="CG328" s="528"/>
      <c r="CH328" s="528"/>
      <c r="CI328" s="528"/>
      <c r="CJ328" s="528"/>
      <c r="CK328" s="528"/>
      <c r="CL328" s="528"/>
      <c r="CM328" s="528"/>
      <c r="CN328" s="528"/>
      <c r="CO328" s="528"/>
      <c r="CP328" s="528"/>
      <c r="CQ328" s="528"/>
      <c r="CR328" s="528"/>
      <c r="CS328" s="528"/>
      <c r="CT328" s="528"/>
      <c r="CU328" s="528"/>
      <c r="CV328" s="528"/>
      <c r="CW328" s="528"/>
      <c r="CX328" s="528"/>
      <c r="CY328" s="528"/>
      <c r="CZ328" s="528"/>
      <c r="DA328" s="528"/>
      <c r="DB328" s="528"/>
      <c r="DC328" s="528"/>
      <c r="DD328" s="528"/>
      <c r="DE328" s="528"/>
      <c r="DF328" s="528"/>
      <c r="DG328" s="528"/>
      <c r="DH328" s="528"/>
      <c r="DI328" s="528"/>
      <c r="DJ328" s="528"/>
      <c r="DK328" s="528"/>
      <c r="DL328" s="528"/>
      <c r="DM328" s="528"/>
      <c r="DN328" s="528"/>
      <c r="DO328" s="528"/>
      <c r="DP328" s="528"/>
      <c r="DQ328" s="528"/>
      <c r="DR328" s="528"/>
      <c r="DS328" s="528"/>
      <c r="DT328" s="528"/>
      <c r="DU328" s="528"/>
      <c r="DV328" s="528"/>
      <c r="DW328" s="528"/>
      <c r="DX328" s="528"/>
      <c r="DY328" s="528"/>
      <c r="DZ328" s="528"/>
      <c r="EA328" s="528"/>
      <c r="EB328" s="528"/>
      <c r="EC328" s="528"/>
      <c r="ED328" s="528"/>
      <c r="EE328" s="528"/>
      <c r="EF328" s="528"/>
      <c r="EG328" s="528"/>
      <c r="EH328" s="528"/>
      <c r="EI328" s="528"/>
      <c r="EJ328" s="528"/>
      <c r="EK328" s="528"/>
      <c r="EL328" s="528"/>
      <c r="EM328" s="528"/>
      <c r="EN328" s="528"/>
      <c r="EO328" s="528"/>
      <c r="EP328" s="528"/>
      <c r="EQ328" s="528"/>
      <c r="ER328" s="528"/>
      <c r="ES328" s="528"/>
      <c r="ET328" s="528"/>
      <c r="EU328" s="528"/>
      <c r="EV328" s="528"/>
      <c r="EW328" s="528"/>
      <c r="EX328" s="528"/>
      <c r="EY328" s="528"/>
      <c r="EZ328" s="528"/>
      <c r="FA328" s="528"/>
      <c r="FB328" s="528"/>
      <c r="FC328" s="528"/>
      <c r="FD328" s="528"/>
      <c r="FE328" s="528"/>
      <c r="FF328" s="528"/>
      <c r="FG328" s="528"/>
      <c r="FH328" s="528"/>
      <c r="FI328" s="528"/>
      <c r="FJ328" s="528"/>
      <c r="FK328" s="528"/>
      <c r="FL328" s="528"/>
      <c r="FM328" s="528"/>
      <c r="FN328" s="528"/>
      <c r="FO328" s="528"/>
      <c r="FP328" s="528"/>
      <c r="FQ328" s="528"/>
      <c r="FR328" s="528"/>
      <c r="FS328" s="528"/>
      <c r="FT328" s="528"/>
      <c r="FU328" s="528"/>
      <c r="FV328" s="528"/>
      <c r="FW328" s="528"/>
      <c r="FX328" s="528"/>
      <c r="FY328" s="528"/>
      <c r="FZ328" s="528"/>
      <c r="GA328" s="528"/>
      <c r="GB328" s="528"/>
      <c r="GC328" s="528"/>
      <c r="GD328" s="528"/>
      <c r="GE328" s="528"/>
      <c r="GF328" s="528"/>
      <c r="GG328" s="528"/>
      <c r="GH328" s="528"/>
      <c r="GI328" s="528"/>
      <c r="GJ328" s="528"/>
      <c r="GK328" s="528"/>
      <c r="GL328" s="528"/>
      <c r="GM328" s="528"/>
      <c r="GN328" s="528"/>
      <c r="GO328" s="528"/>
      <c r="GP328" s="528"/>
      <c r="GQ328" s="528"/>
      <c r="GR328" s="528"/>
      <c r="GS328" s="528"/>
      <c r="GT328" s="528"/>
      <c r="GU328" s="528"/>
      <c r="GV328" s="528"/>
      <c r="GW328" s="528"/>
      <c r="GX328" s="528"/>
      <c r="GY328" s="528"/>
      <c r="GZ328" s="528"/>
      <c r="HA328" s="528"/>
      <c r="HB328" s="528"/>
      <c r="HC328" s="528"/>
      <c r="HD328" s="528"/>
      <c r="HE328" s="528"/>
      <c r="HF328" s="528"/>
      <c r="HG328" s="528"/>
      <c r="HH328" s="528"/>
      <c r="HI328" s="528"/>
      <c r="HJ328" s="528"/>
      <c r="HK328" s="528"/>
      <c r="HL328" s="528"/>
      <c r="HM328" s="528"/>
      <c r="HN328" s="528"/>
      <c r="HO328" s="528"/>
      <c r="HP328" s="528"/>
      <c r="HQ328" s="528"/>
      <c r="HR328" s="528"/>
      <c r="HS328" s="528"/>
      <c r="HT328" s="528"/>
      <c r="HU328" s="528"/>
      <c r="HV328" s="528"/>
      <c r="HW328" s="528"/>
      <c r="HX328" s="528"/>
      <c r="HY328" s="528"/>
      <c r="HZ328" s="528"/>
      <c r="IA328" s="528"/>
      <c r="IB328" s="528"/>
      <c r="IC328" s="528"/>
      <c r="ID328" s="528"/>
      <c r="IE328" s="528"/>
      <c r="IF328" s="528"/>
      <c r="IG328" s="528"/>
      <c r="IH328" s="528"/>
      <c r="II328" s="528"/>
      <c r="IJ328" s="528"/>
      <c r="IK328" s="528"/>
      <c r="IL328" s="528"/>
      <c r="IM328" s="528"/>
      <c r="IN328" s="528"/>
      <c r="IO328" s="528"/>
      <c r="IP328" s="528"/>
      <c r="IQ328" s="528"/>
      <c r="IR328" s="528"/>
      <c r="IS328" s="528"/>
      <c r="IT328" s="528"/>
      <c r="IU328" s="528"/>
      <c r="IV328" s="528"/>
    </row>
    <row r="329" spans="1:256" ht="26.4" thickBot="1">
      <c r="A329" s="696" t="s">
        <v>0</v>
      </c>
      <c r="B329" s="697"/>
      <c r="C329" s="697"/>
      <c r="D329" s="697"/>
      <c r="E329" s="697"/>
      <c r="F329" s="698"/>
      <c r="H329" s="696" t="s">
        <v>0</v>
      </c>
      <c r="I329" s="697"/>
      <c r="J329" s="697"/>
      <c r="K329" s="697"/>
      <c r="L329" s="697"/>
      <c r="M329" s="698"/>
      <c r="O329" s="696" t="s">
        <v>0</v>
      </c>
      <c r="P329" s="697"/>
      <c r="Q329" s="697"/>
      <c r="R329" s="697"/>
      <c r="S329" s="697"/>
      <c r="T329" s="698"/>
      <c r="V329" s="696" t="s">
        <v>0</v>
      </c>
      <c r="W329" s="697"/>
      <c r="X329" s="697"/>
      <c r="Y329" s="697"/>
      <c r="Z329" s="697"/>
      <c r="AA329" s="698"/>
      <c r="AC329" s="696" t="s">
        <v>0</v>
      </c>
      <c r="AD329" s="697"/>
      <c r="AE329" s="697"/>
      <c r="AF329" s="697"/>
      <c r="AG329" s="697"/>
      <c r="AH329" s="698"/>
    </row>
    <row r="330" spans="1:256" ht="15" customHeight="1" thickBot="1">
      <c r="A330" s="3" t="s">
        <v>1</v>
      </c>
      <c r="B330" s="693" t="s">
        <v>2</v>
      </c>
      <c r="C330" s="694"/>
      <c r="D330" s="694"/>
      <c r="E330" s="695"/>
      <c r="F330" s="3" t="s">
        <v>3</v>
      </c>
      <c r="H330" s="3" t="s">
        <v>1</v>
      </c>
      <c r="I330" s="693" t="s">
        <v>2</v>
      </c>
      <c r="J330" s="694"/>
      <c r="K330" s="694"/>
      <c r="L330" s="695"/>
      <c r="M330" s="3" t="s">
        <v>3</v>
      </c>
      <c r="O330" s="3" t="s">
        <v>1</v>
      </c>
      <c r="P330" s="693" t="s">
        <v>2</v>
      </c>
      <c r="Q330" s="694"/>
      <c r="R330" s="694"/>
      <c r="S330" s="695"/>
      <c r="T330" s="3" t="s">
        <v>3</v>
      </c>
      <c r="V330" s="3" t="s">
        <v>1</v>
      </c>
      <c r="W330" s="693" t="s">
        <v>2</v>
      </c>
      <c r="X330" s="694"/>
      <c r="Y330" s="694"/>
      <c r="Z330" s="695"/>
      <c r="AA330" s="3" t="s">
        <v>3</v>
      </c>
      <c r="AC330" s="3" t="s">
        <v>1</v>
      </c>
      <c r="AD330" s="693" t="s">
        <v>2</v>
      </c>
      <c r="AE330" s="694"/>
      <c r="AF330" s="694"/>
      <c r="AG330" s="695"/>
      <c r="AH330" s="3" t="s">
        <v>3</v>
      </c>
    </row>
    <row r="331" spans="1:256" ht="45.75" customHeight="1" thickBot="1">
      <c r="A331" s="5" t="s">
        <v>820</v>
      </c>
      <c r="B331" s="743" t="s">
        <v>1081</v>
      </c>
      <c r="C331" s="744"/>
      <c r="D331" s="744"/>
      <c r="E331" s="745"/>
      <c r="F331" s="5" t="s">
        <v>6</v>
      </c>
      <c r="H331" s="5" t="s">
        <v>821</v>
      </c>
      <c r="I331" s="743" t="s">
        <v>1118</v>
      </c>
      <c r="J331" s="744"/>
      <c r="K331" s="744"/>
      <c r="L331" s="745"/>
      <c r="M331" s="5" t="s">
        <v>6</v>
      </c>
      <c r="O331" s="5" t="s">
        <v>822</v>
      </c>
      <c r="P331" s="743" t="s">
        <v>1083</v>
      </c>
      <c r="Q331" s="744"/>
      <c r="R331" s="744"/>
      <c r="S331" s="745"/>
      <c r="T331" s="5" t="s">
        <v>308</v>
      </c>
      <c r="V331" s="5" t="s">
        <v>823</v>
      </c>
      <c r="W331" s="743" t="s">
        <v>1119</v>
      </c>
      <c r="X331" s="744"/>
      <c r="Y331" s="744"/>
      <c r="Z331" s="745"/>
      <c r="AA331" s="5" t="s">
        <v>308</v>
      </c>
      <c r="AC331" s="5" t="s">
        <v>824</v>
      </c>
      <c r="AD331" s="743" t="s">
        <v>1021</v>
      </c>
      <c r="AE331" s="744"/>
      <c r="AF331" s="744"/>
      <c r="AG331" s="745"/>
      <c r="AH331" s="5" t="s">
        <v>1022</v>
      </c>
    </row>
    <row r="332" spans="1:256" ht="15" customHeight="1" thickBot="1">
      <c r="A332" s="705" t="s">
        <v>8</v>
      </c>
      <c r="B332" s="706"/>
      <c r="C332" s="706"/>
      <c r="D332" s="706"/>
      <c r="E332" s="706"/>
      <c r="F332" s="707"/>
      <c r="H332" s="705" t="s">
        <v>8</v>
      </c>
      <c r="I332" s="706"/>
      <c r="J332" s="706"/>
      <c r="K332" s="706"/>
      <c r="L332" s="706"/>
      <c r="M332" s="707"/>
      <c r="O332" s="705" t="s">
        <v>8</v>
      </c>
      <c r="P332" s="706"/>
      <c r="Q332" s="706"/>
      <c r="R332" s="706"/>
      <c r="S332" s="706"/>
      <c r="T332" s="707"/>
      <c r="V332" s="705" t="s">
        <v>8</v>
      </c>
      <c r="W332" s="706"/>
      <c r="X332" s="706"/>
      <c r="Y332" s="706"/>
      <c r="Z332" s="706"/>
      <c r="AA332" s="707"/>
      <c r="AC332" s="705" t="s">
        <v>8</v>
      </c>
      <c r="AD332" s="706"/>
      <c r="AE332" s="706"/>
      <c r="AF332" s="706"/>
      <c r="AG332" s="706"/>
      <c r="AH332" s="707"/>
    </row>
    <row r="333" spans="1:256" ht="15" customHeight="1" thickBot="1">
      <c r="A333" s="8" t="s">
        <v>1</v>
      </c>
      <c r="B333" s="5" t="s">
        <v>2</v>
      </c>
      <c r="C333" s="8" t="s">
        <v>3</v>
      </c>
      <c r="D333" s="8" t="s">
        <v>9</v>
      </c>
      <c r="E333" s="8" t="s">
        <v>10</v>
      </c>
      <c r="F333" s="8" t="s">
        <v>11</v>
      </c>
      <c r="H333" s="8" t="s">
        <v>1</v>
      </c>
      <c r="I333" s="5" t="s">
        <v>2</v>
      </c>
      <c r="J333" s="8" t="s">
        <v>3</v>
      </c>
      <c r="K333" s="8" t="s">
        <v>9</v>
      </c>
      <c r="L333" s="8" t="s">
        <v>10</v>
      </c>
      <c r="M333" s="8" t="s">
        <v>11</v>
      </c>
      <c r="O333" s="8" t="s">
        <v>1</v>
      </c>
      <c r="P333" s="5" t="s">
        <v>2</v>
      </c>
      <c r="Q333" s="8" t="s">
        <v>3</v>
      </c>
      <c r="R333" s="8" t="s">
        <v>9</v>
      </c>
      <c r="S333" s="8" t="s">
        <v>10</v>
      </c>
      <c r="T333" s="8" t="s">
        <v>11</v>
      </c>
      <c r="V333" s="8" t="s">
        <v>1</v>
      </c>
      <c r="W333" s="5" t="s">
        <v>2</v>
      </c>
      <c r="X333" s="8" t="s">
        <v>3</v>
      </c>
      <c r="Y333" s="8" t="s">
        <v>9</v>
      </c>
      <c r="Z333" s="8" t="s">
        <v>10</v>
      </c>
      <c r="AA333" s="8" t="s">
        <v>11</v>
      </c>
      <c r="AC333" s="8" t="s">
        <v>1</v>
      </c>
      <c r="AD333" s="5" t="s">
        <v>2</v>
      </c>
      <c r="AE333" s="8" t="s">
        <v>3</v>
      </c>
      <c r="AF333" s="8" t="s">
        <v>9</v>
      </c>
      <c r="AG333" s="8" t="s">
        <v>10</v>
      </c>
      <c r="AH333" s="8" t="s">
        <v>11</v>
      </c>
    </row>
    <row r="334" spans="1:256" ht="15" customHeight="1">
      <c r="A334" s="463"/>
      <c r="B334" s="459"/>
      <c r="C334" s="9"/>
      <c r="D334" s="11"/>
      <c r="E334" s="12"/>
      <c r="F334" s="13"/>
      <c r="H334" s="463"/>
      <c r="I334" s="459"/>
      <c r="J334" s="9"/>
      <c r="K334" s="11"/>
      <c r="L334" s="12"/>
      <c r="M334" s="13"/>
      <c r="O334" s="463"/>
      <c r="P334" s="459"/>
      <c r="Q334" s="9"/>
      <c r="R334" s="11"/>
      <c r="S334" s="12"/>
      <c r="T334" s="13"/>
      <c r="V334" s="463"/>
      <c r="W334" s="459"/>
      <c r="X334" s="9"/>
      <c r="Y334" s="11"/>
      <c r="Z334" s="12"/>
      <c r="AA334" s="13"/>
      <c r="AC334" s="463"/>
      <c r="AD334" s="459"/>
      <c r="AE334" s="9"/>
      <c r="AF334" s="11"/>
      <c r="AG334" s="12"/>
      <c r="AH334" s="13"/>
    </row>
    <row r="335" spans="1:256" ht="15" customHeight="1">
      <c r="A335" s="466"/>
      <c r="B335" s="460"/>
      <c r="C335" s="16"/>
      <c r="D335" s="18"/>
      <c r="E335" s="20"/>
      <c r="F335" s="20"/>
      <c r="H335" s="466"/>
      <c r="I335" s="460"/>
      <c r="J335" s="16"/>
      <c r="K335" s="18"/>
      <c r="L335" s="20"/>
      <c r="M335" s="20"/>
      <c r="O335" s="466"/>
      <c r="P335" s="460"/>
      <c r="Q335" s="16"/>
      <c r="R335" s="18"/>
      <c r="S335" s="20"/>
      <c r="T335" s="20"/>
      <c r="V335" s="466"/>
      <c r="W335" s="460"/>
      <c r="X335" s="16"/>
      <c r="Y335" s="18"/>
      <c r="Z335" s="20"/>
      <c r="AA335" s="20"/>
      <c r="AC335" s="466"/>
      <c r="AD335" s="460"/>
      <c r="AE335" s="16"/>
      <c r="AF335" s="18"/>
      <c r="AG335" s="20"/>
      <c r="AH335" s="20"/>
    </row>
    <row r="336" spans="1:256" ht="15" customHeight="1">
      <c r="A336" s="466"/>
      <c r="B336" s="460"/>
      <c r="C336" s="16"/>
      <c r="D336" s="18"/>
      <c r="E336" s="20"/>
      <c r="F336" s="20"/>
      <c r="H336" s="466"/>
      <c r="I336" s="460"/>
      <c r="J336" s="16"/>
      <c r="K336" s="18"/>
      <c r="L336" s="20"/>
      <c r="M336" s="20"/>
      <c r="O336" s="466"/>
      <c r="P336" s="460"/>
      <c r="Q336" s="16"/>
      <c r="R336" s="18"/>
      <c r="S336" s="20"/>
      <c r="T336" s="20"/>
      <c r="V336" s="466"/>
      <c r="W336" s="460"/>
      <c r="X336" s="16"/>
      <c r="Y336" s="18"/>
      <c r="Z336" s="20"/>
      <c r="AA336" s="20"/>
      <c r="AC336" s="466"/>
      <c r="AD336" s="460"/>
      <c r="AE336" s="16"/>
      <c r="AF336" s="18"/>
      <c r="AG336" s="20"/>
      <c r="AH336" s="20"/>
    </row>
    <row r="337" spans="1:34" ht="15" customHeight="1">
      <c r="A337" s="462"/>
      <c r="B337" s="461"/>
      <c r="C337" s="21"/>
      <c r="D337" s="21"/>
      <c r="E337" s="20"/>
      <c r="F337" s="20"/>
      <c r="H337" s="462"/>
      <c r="I337" s="461"/>
      <c r="J337" s="21"/>
      <c r="K337" s="21"/>
      <c r="L337" s="20"/>
      <c r="M337" s="20"/>
      <c r="O337" s="462"/>
      <c r="P337" s="461"/>
      <c r="Q337" s="21"/>
      <c r="R337" s="21"/>
      <c r="S337" s="20"/>
      <c r="T337" s="20"/>
      <c r="V337" s="462"/>
      <c r="W337" s="461"/>
      <c r="X337" s="21"/>
      <c r="Y337" s="21"/>
      <c r="Z337" s="20"/>
      <c r="AA337" s="20"/>
      <c r="AC337" s="462"/>
      <c r="AD337" s="461"/>
      <c r="AE337" s="21"/>
      <c r="AF337" s="21"/>
      <c r="AG337" s="20"/>
      <c r="AH337" s="20"/>
    </row>
    <row r="338" spans="1:34" ht="15" customHeight="1">
      <c r="A338" s="462"/>
      <c r="B338" s="461"/>
      <c r="C338" s="462"/>
      <c r="D338" s="21"/>
      <c r="E338" s="20"/>
      <c r="F338" s="20"/>
      <c r="H338" s="462"/>
      <c r="I338" s="461"/>
      <c r="J338" s="462"/>
      <c r="K338" s="21"/>
      <c r="L338" s="20"/>
      <c r="M338" s="20"/>
      <c r="O338" s="462"/>
      <c r="P338" s="461"/>
      <c r="Q338" s="462"/>
      <c r="R338" s="21"/>
      <c r="S338" s="20"/>
      <c r="T338" s="20"/>
      <c r="V338" s="462"/>
      <c r="W338" s="461"/>
      <c r="X338" s="462"/>
      <c r="Y338" s="21"/>
      <c r="Z338" s="20"/>
      <c r="AA338" s="20"/>
      <c r="AC338" s="462"/>
      <c r="AD338" s="461"/>
      <c r="AE338" s="462"/>
      <c r="AF338" s="21"/>
      <c r="AG338" s="20"/>
      <c r="AH338" s="20"/>
    </row>
    <row r="339" spans="1:34" ht="15" customHeight="1">
      <c r="A339" s="462"/>
      <c r="B339" s="461"/>
      <c r="C339" s="462"/>
      <c r="D339" s="21"/>
      <c r="E339" s="20"/>
      <c r="F339" s="20"/>
      <c r="H339" s="462"/>
      <c r="I339" s="461"/>
      <c r="J339" s="462"/>
      <c r="K339" s="21"/>
      <c r="L339" s="20"/>
      <c r="M339" s="20"/>
      <c r="O339" s="462"/>
      <c r="P339" s="461"/>
      <c r="Q339" s="462"/>
      <c r="R339" s="21"/>
      <c r="S339" s="20"/>
      <c r="T339" s="20"/>
      <c r="V339" s="462"/>
      <c r="W339" s="461"/>
      <c r="X339" s="462"/>
      <c r="Y339" s="21"/>
      <c r="Z339" s="20"/>
      <c r="AA339" s="20"/>
      <c r="AC339" s="462"/>
      <c r="AD339" s="461"/>
      <c r="AE339" s="462"/>
      <c r="AF339" s="21"/>
      <c r="AG339" s="20"/>
      <c r="AH339" s="20"/>
    </row>
    <row r="340" spans="1:34" ht="15" customHeight="1" thickBot="1">
      <c r="A340" s="23"/>
      <c r="B340" s="24"/>
      <c r="C340" s="23"/>
      <c r="D340" s="23"/>
      <c r="E340" s="25"/>
      <c r="F340" s="25"/>
      <c r="H340" s="23"/>
      <c r="I340" s="24"/>
      <c r="J340" s="23"/>
      <c r="K340" s="23"/>
      <c r="L340" s="25"/>
      <c r="M340" s="25"/>
      <c r="O340" s="23"/>
      <c r="P340" s="24"/>
      <c r="Q340" s="23"/>
      <c r="R340" s="23"/>
      <c r="S340" s="25"/>
      <c r="T340" s="25"/>
      <c r="V340" s="23"/>
      <c r="W340" s="24"/>
      <c r="X340" s="23"/>
      <c r="Y340" s="23"/>
      <c r="Z340" s="25"/>
      <c r="AA340" s="25"/>
      <c r="AC340" s="23"/>
      <c r="AD340" s="24"/>
      <c r="AE340" s="23"/>
      <c r="AF340" s="23"/>
      <c r="AG340" s="25"/>
      <c r="AH340" s="25"/>
    </row>
    <row r="341" spans="1:34" ht="15" customHeight="1" thickBot="1">
      <c r="A341" s="708" t="s">
        <v>18</v>
      </c>
      <c r="B341" s="709"/>
      <c r="C341" s="709"/>
      <c r="D341" s="709"/>
      <c r="E341" s="710"/>
      <c r="F341" s="26">
        <f>SUM(F334:F340)</f>
        <v>0</v>
      </c>
      <c r="H341" s="708" t="s">
        <v>18</v>
      </c>
      <c r="I341" s="709"/>
      <c r="J341" s="709"/>
      <c r="K341" s="709"/>
      <c r="L341" s="710"/>
      <c r="M341" s="26">
        <f>SUM(M334:M340)</f>
        <v>0</v>
      </c>
      <c r="O341" s="708" t="s">
        <v>18</v>
      </c>
      <c r="P341" s="709"/>
      <c r="Q341" s="709"/>
      <c r="R341" s="709"/>
      <c r="S341" s="710"/>
      <c r="T341" s="26">
        <f>SUM(T334:T340)</f>
        <v>0</v>
      </c>
      <c r="V341" s="708" t="s">
        <v>18</v>
      </c>
      <c r="W341" s="709"/>
      <c r="X341" s="709"/>
      <c r="Y341" s="709"/>
      <c r="Z341" s="710"/>
      <c r="AA341" s="26">
        <f>SUM(AA334:AA340)</f>
        <v>0</v>
      </c>
      <c r="AC341" s="708" t="s">
        <v>18</v>
      </c>
      <c r="AD341" s="709"/>
      <c r="AE341" s="709"/>
      <c r="AF341" s="709"/>
      <c r="AG341" s="710"/>
      <c r="AH341" s="26">
        <f>SUM(AH334:AH340)</f>
        <v>0</v>
      </c>
    </row>
    <row r="342" spans="1:34" ht="15" customHeight="1" thickBot="1">
      <c r="A342" s="711" t="s">
        <v>19</v>
      </c>
      <c r="B342" s="712"/>
      <c r="C342" s="712"/>
      <c r="D342" s="712"/>
      <c r="E342" s="712"/>
      <c r="F342" s="713"/>
      <c r="H342" s="711" t="s">
        <v>19</v>
      </c>
      <c r="I342" s="712"/>
      <c r="J342" s="712"/>
      <c r="K342" s="712"/>
      <c r="L342" s="712"/>
      <c r="M342" s="713"/>
      <c r="O342" s="711" t="s">
        <v>19</v>
      </c>
      <c r="P342" s="712"/>
      <c r="Q342" s="712"/>
      <c r="R342" s="712"/>
      <c r="S342" s="712"/>
      <c r="T342" s="713"/>
      <c r="V342" s="711" t="s">
        <v>19</v>
      </c>
      <c r="W342" s="712"/>
      <c r="X342" s="712"/>
      <c r="Y342" s="712"/>
      <c r="Z342" s="712"/>
      <c r="AA342" s="713"/>
      <c r="AC342" s="711" t="s">
        <v>19</v>
      </c>
      <c r="AD342" s="712"/>
      <c r="AE342" s="712"/>
      <c r="AF342" s="712"/>
      <c r="AG342" s="712"/>
      <c r="AH342" s="713"/>
    </row>
    <row r="343" spans="1:34" ht="15" customHeight="1" thickBot="1">
      <c r="A343" s="8" t="s">
        <v>1</v>
      </c>
      <c r="B343" s="5" t="s">
        <v>2</v>
      </c>
      <c r="C343" s="8" t="s">
        <v>3</v>
      </c>
      <c r="D343" s="8" t="s">
        <v>9</v>
      </c>
      <c r="E343" s="8" t="s">
        <v>10</v>
      </c>
      <c r="F343" s="8" t="s">
        <v>11</v>
      </c>
      <c r="H343" s="8" t="s">
        <v>1</v>
      </c>
      <c r="I343" s="5" t="s">
        <v>2</v>
      </c>
      <c r="J343" s="8" t="s">
        <v>3</v>
      </c>
      <c r="K343" s="8" t="s">
        <v>9</v>
      </c>
      <c r="L343" s="8" t="s">
        <v>10</v>
      </c>
      <c r="M343" s="8" t="s">
        <v>11</v>
      </c>
      <c r="O343" s="8" t="s">
        <v>1</v>
      </c>
      <c r="P343" s="5" t="s">
        <v>2</v>
      </c>
      <c r="Q343" s="8" t="s">
        <v>3</v>
      </c>
      <c r="R343" s="8" t="s">
        <v>9</v>
      </c>
      <c r="S343" s="8" t="s">
        <v>10</v>
      </c>
      <c r="T343" s="8" t="s">
        <v>11</v>
      </c>
      <c r="V343" s="8" t="s">
        <v>1</v>
      </c>
      <c r="W343" s="5" t="s">
        <v>2</v>
      </c>
      <c r="X343" s="8" t="s">
        <v>3</v>
      </c>
      <c r="Y343" s="8" t="s">
        <v>9</v>
      </c>
      <c r="Z343" s="8" t="s">
        <v>10</v>
      </c>
      <c r="AA343" s="8" t="s">
        <v>11</v>
      </c>
      <c r="AC343" s="8" t="s">
        <v>1</v>
      </c>
      <c r="AD343" s="5" t="s">
        <v>2</v>
      </c>
      <c r="AE343" s="8" t="s">
        <v>3</v>
      </c>
      <c r="AF343" s="8" t="s">
        <v>9</v>
      </c>
      <c r="AG343" s="8" t="s">
        <v>10</v>
      </c>
      <c r="AH343" s="8" t="s">
        <v>11</v>
      </c>
    </row>
    <row r="344" spans="1:34" ht="15" customHeight="1">
      <c r="A344" s="363" t="s">
        <v>1084</v>
      </c>
      <c r="B344" s="459" t="s">
        <v>1085</v>
      </c>
      <c r="C344" s="9" t="s">
        <v>21</v>
      </c>
      <c r="D344" s="27">
        <f>(1*1)/57.01</f>
        <v>1.7540782318891422E-2</v>
      </c>
      <c r="E344" s="12">
        <f>'ANÁLISIS CUADRILLAS'!F70</f>
        <v>937.27584599999989</v>
      </c>
      <c r="F344" s="13">
        <f>D344*E344</f>
        <v>16.440551587440797</v>
      </c>
      <c r="H344" s="363" t="s">
        <v>1084</v>
      </c>
      <c r="I344" s="459" t="s">
        <v>1085</v>
      </c>
      <c r="J344" s="9" t="s">
        <v>21</v>
      </c>
      <c r="K344" s="27">
        <f>(1*1)/57.01</f>
        <v>1.7540782318891422E-2</v>
      </c>
      <c r="L344" s="12">
        <f>'ANÁLISIS CUADRILLAS'!F70</f>
        <v>937.27584599999989</v>
      </c>
      <c r="M344" s="13">
        <f>K344*L344</f>
        <v>16.440551587440797</v>
      </c>
      <c r="O344" s="363" t="s">
        <v>1084</v>
      </c>
      <c r="P344" s="459" t="s">
        <v>1086</v>
      </c>
      <c r="Q344" s="9" t="s">
        <v>21</v>
      </c>
      <c r="R344" s="27">
        <f>(1*1)/4.75</f>
        <v>0.21052631578947367</v>
      </c>
      <c r="S344" s="12">
        <f>'ANÁLISIS CUADRILLAS'!F70</f>
        <v>937.27584599999989</v>
      </c>
      <c r="T344" s="13">
        <f>R344*S344</f>
        <v>197.32123073684207</v>
      </c>
      <c r="V344" s="463" t="s">
        <v>1016</v>
      </c>
      <c r="W344" s="459" t="s">
        <v>1058</v>
      </c>
      <c r="X344" s="9" t="s">
        <v>21</v>
      </c>
      <c r="Y344" s="27">
        <f>1/7.46</f>
        <v>0.13404825737265416</v>
      </c>
      <c r="Z344" s="12">
        <f>'ANÁLISIS CUADRILLAS'!F63</f>
        <v>468.63792299999994</v>
      </c>
      <c r="AA344" s="13">
        <f>Y344*Z344</f>
        <v>62.820096916890073</v>
      </c>
      <c r="AC344" s="463"/>
      <c r="AD344" s="459"/>
      <c r="AE344" s="9"/>
      <c r="AF344" s="27"/>
      <c r="AG344" s="12"/>
      <c r="AH344" s="13">
        <f>AF344*AG344</f>
        <v>0</v>
      </c>
    </row>
    <row r="345" spans="1:34" ht="15" customHeight="1" thickBot="1">
      <c r="A345" s="23"/>
      <c r="B345" s="24"/>
      <c r="C345" s="23"/>
      <c r="D345" s="23"/>
      <c r="E345" s="25"/>
      <c r="F345" s="25"/>
      <c r="H345" s="23"/>
      <c r="I345" s="24"/>
      <c r="J345" s="23"/>
      <c r="K345" s="23"/>
      <c r="L345" s="25"/>
      <c r="M345" s="25"/>
      <c r="O345" s="23"/>
      <c r="P345" s="24"/>
      <c r="Q345" s="23"/>
      <c r="R345" s="23"/>
      <c r="S345" s="25"/>
      <c r="T345" s="25"/>
      <c r="V345" s="23"/>
      <c r="W345" s="24"/>
      <c r="X345" s="23"/>
      <c r="Y345" s="23"/>
      <c r="Z345" s="25"/>
      <c r="AA345" s="25"/>
      <c r="AC345" s="23"/>
      <c r="AD345" s="24"/>
      <c r="AE345" s="23"/>
      <c r="AF345" s="23"/>
      <c r="AG345" s="25"/>
      <c r="AH345" s="25"/>
    </row>
    <row r="346" spans="1:34" ht="15" customHeight="1" thickBot="1">
      <c r="A346" s="714" t="s">
        <v>18</v>
      </c>
      <c r="B346" s="715"/>
      <c r="C346" s="715"/>
      <c r="D346" s="715"/>
      <c r="E346" s="716"/>
      <c r="F346" s="35">
        <f>SUM(F344:F345)</f>
        <v>16.440551587440797</v>
      </c>
      <c r="H346" s="714" t="s">
        <v>18</v>
      </c>
      <c r="I346" s="715"/>
      <c r="J346" s="715"/>
      <c r="K346" s="715"/>
      <c r="L346" s="716"/>
      <c r="M346" s="35">
        <f>SUM(M344:M345)</f>
        <v>16.440551587440797</v>
      </c>
      <c r="O346" s="714" t="s">
        <v>18</v>
      </c>
      <c r="P346" s="715"/>
      <c r="Q346" s="715"/>
      <c r="R346" s="715"/>
      <c r="S346" s="716"/>
      <c r="T346" s="35">
        <f>SUM(T344:T345)</f>
        <v>197.32123073684207</v>
      </c>
      <c r="V346" s="714" t="s">
        <v>18</v>
      </c>
      <c r="W346" s="715"/>
      <c r="X346" s="715"/>
      <c r="Y346" s="715"/>
      <c r="Z346" s="716"/>
      <c r="AA346" s="35">
        <f>SUM(AA344:AA345)</f>
        <v>62.820096916890073</v>
      </c>
      <c r="AC346" s="714" t="s">
        <v>18</v>
      </c>
      <c r="AD346" s="715"/>
      <c r="AE346" s="715"/>
      <c r="AF346" s="715"/>
      <c r="AG346" s="716"/>
      <c r="AH346" s="35">
        <f>SUM(AH344:AH345)</f>
        <v>0</v>
      </c>
    </row>
    <row r="347" spans="1:34" ht="15" customHeight="1" thickBot="1">
      <c r="A347" s="717" t="s">
        <v>23</v>
      </c>
      <c r="B347" s="718"/>
      <c r="C347" s="718"/>
      <c r="D347" s="718"/>
      <c r="E347" s="718"/>
      <c r="F347" s="719"/>
      <c r="H347" s="717" t="s">
        <v>23</v>
      </c>
      <c r="I347" s="718"/>
      <c r="J347" s="718"/>
      <c r="K347" s="718"/>
      <c r="L347" s="718"/>
      <c r="M347" s="719"/>
      <c r="O347" s="717" t="s">
        <v>23</v>
      </c>
      <c r="P347" s="718"/>
      <c r="Q347" s="718"/>
      <c r="R347" s="718"/>
      <c r="S347" s="718"/>
      <c r="T347" s="719"/>
      <c r="V347" s="717" t="s">
        <v>23</v>
      </c>
      <c r="W347" s="718"/>
      <c r="X347" s="718"/>
      <c r="Y347" s="718"/>
      <c r="Z347" s="718"/>
      <c r="AA347" s="719"/>
      <c r="AC347" s="717" t="s">
        <v>23</v>
      </c>
      <c r="AD347" s="718"/>
      <c r="AE347" s="718"/>
      <c r="AF347" s="718"/>
      <c r="AG347" s="718"/>
      <c r="AH347" s="719"/>
    </row>
    <row r="348" spans="1:34" ht="15" customHeight="1" thickBot="1">
      <c r="A348" s="8" t="s">
        <v>1</v>
      </c>
      <c r="B348" s="5" t="s">
        <v>2</v>
      </c>
      <c r="C348" s="8" t="s">
        <v>3</v>
      </c>
      <c r="D348" s="8" t="s">
        <v>9</v>
      </c>
      <c r="E348" s="8" t="s">
        <v>10</v>
      </c>
      <c r="F348" s="8" t="s">
        <v>11</v>
      </c>
      <c r="H348" s="8" t="s">
        <v>1</v>
      </c>
      <c r="I348" s="5" t="s">
        <v>2</v>
      </c>
      <c r="J348" s="8" t="s">
        <v>3</v>
      </c>
      <c r="K348" s="8" t="s">
        <v>9</v>
      </c>
      <c r="L348" s="8" t="s">
        <v>10</v>
      </c>
      <c r="M348" s="8" t="s">
        <v>11</v>
      </c>
      <c r="O348" s="8" t="s">
        <v>1</v>
      </c>
      <c r="P348" s="5" t="s">
        <v>2</v>
      </c>
      <c r="Q348" s="8" t="s">
        <v>3</v>
      </c>
      <c r="R348" s="8" t="s">
        <v>9</v>
      </c>
      <c r="S348" s="8" t="s">
        <v>10</v>
      </c>
      <c r="T348" s="8" t="s">
        <v>11</v>
      </c>
      <c r="V348" s="8" t="s">
        <v>1</v>
      </c>
      <c r="W348" s="5" t="s">
        <v>2</v>
      </c>
      <c r="X348" s="8" t="s">
        <v>3</v>
      </c>
      <c r="Y348" s="8" t="s">
        <v>9</v>
      </c>
      <c r="Z348" s="8" t="s">
        <v>10</v>
      </c>
      <c r="AA348" s="8" t="s">
        <v>11</v>
      </c>
      <c r="AC348" s="8" t="s">
        <v>1</v>
      </c>
      <c r="AD348" s="5" t="s">
        <v>2</v>
      </c>
      <c r="AE348" s="8" t="s">
        <v>3</v>
      </c>
      <c r="AF348" s="8" t="s">
        <v>9</v>
      </c>
      <c r="AG348" s="8" t="s">
        <v>10</v>
      </c>
      <c r="AH348" s="8" t="s">
        <v>11</v>
      </c>
    </row>
    <row r="349" spans="1:34" ht="15" customHeight="1" thickBot="1">
      <c r="A349" s="36" t="s">
        <v>24</v>
      </c>
      <c r="B349" s="37" t="s">
        <v>23</v>
      </c>
      <c r="C349" s="36" t="s">
        <v>25</v>
      </c>
      <c r="D349" s="38">
        <v>0.03</v>
      </c>
      <c r="E349" s="39">
        <f>F344</f>
        <v>16.440551587440797</v>
      </c>
      <c r="F349" s="39">
        <f>(D349*E349)</f>
        <v>0.49321654762322392</v>
      </c>
      <c r="H349" s="36" t="s">
        <v>24</v>
      </c>
      <c r="I349" s="37" t="s">
        <v>23</v>
      </c>
      <c r="J349" s="36" t="s">
        <v>25</v>
      </c>
      <c r="K349" s="38">
        <v>0.03</v>
      </c>
      <c r="L349" s="39">
        <f>M344</f>
        <v>16.440551587440797</v>
      </c>
      <c r="M349" s="39">
        <f>(K349*L349)</f>
        <v>0.49321654762322392</v>
      </c>
      <c r="O349" s="36" t="s">
        <v>24</v>
      </c>
      <c r="P349" s="37" t="s">
        <v>23</v>
      </c>
      <c r="Q349" s="36" t="s">
        <v>25</v>
      </c>
      <c r="R349" s="38">
        <v>0.03</v>
      </c>
      <c r="S349" s="39">
        <f>T344</f>
        <v>197.32123073684207</v>
      </c>
      <c r="T349" s="39">
        <f>(R349*S349)</f>
        <v>5.919636922105262</v>
      </c>
      <c r="V349" s="36" t="s">
        <v>24</v>
      </c>
      <c r="W349" s="37" t="s">
        <v>23</v>
      </c>
      <c r="X349" s="36" t="s">
        <v>25</v>
      </c>
      <c r="Y349" s="38">
        <v>0.03</v>
      </c>
      <c r="Z349" s="39">
        <f>AA344</f>
        <v>62.820096916890073</v>
      </c>
      <c r="AA349" s="39">
        <f>(Y349*Z349)</f>
        <v>1.8846029075067021</v>
      </c>
      <c r="AC349" s="36"/>
      <c r="AD349" s="37"/>
      <c r="AE349" s="36"/>
      <c r="AF349" s="38"/>
      <c r="AG349" s="39"/>
      <c r="AH349" s="39">
        <f>(AF349*AG349)</f>
        <v>0</v>
      </c>
    </row>
    <row r="350" spans="1:34" ht="15" customHeight="1" thickBot="1">
      <c r="A350" s="720" t="s">
        <v>26</v>
      </c>
      <c r="B350" s="721"/>
      <c r="C350" s="721"/>
      <c r="D350" s="721"/>
      <c r="E350" s="722"/>
      <c r="F350" s="40">
        <f>SUM(F349)</f>
        <v>0.49321654762322392</v>
      </c>
      <c r="H350" s="720" t="s">
        <v>26</v>
      </c>
      <c r="I350" s="721"/>
      <c r="J350" s="721"/>
      <c r="K350" s="721"/>
      <c r="L350" s="722"/>
      <c r="M350" s="40">
        <f>SUM(M349)</f>
        <v>0.49321654762322392</v>
      </c>
      <c r="O350" s="720" t="s">
        <v>26</v>
      </c>
      <c r="P350" s="721"/>
      <c r="Q350" s="721"/>
      <c r="R350" s="721"/>
      <c r="S350" s="722"/>
      <c r="T350" s="40">
        <f>SUM(T349)</f>
        <v>5.919636922105262</v>
      </c>
      <c r="V350" s="720" t="s">
        <v>26</v>
      </c>
      <c r="W350" s="721"/>
      <c r="X350" s="721"/>
      <c r="Y350" s="721"/>
      <c r="Z350" s="722"/>
      <c r="AA350" s="40">
        <f>SUM(AA349)</f>
        <v>1.8846029075067021</v>
      </c>
      <c r="AC350" s="720" t="s">
        <v>26</v>
      </c>
      <c r="AD350" s="721"/>
      <c r="AE350" s="721"/>
      <c r="AF350" s="721"/>
      <c r="AG350" s="722"/>
      <c r="AH350" s="40">
        <f>SUM(AH349)</f>
        <v>0</v>
      </c>
    </row>
    <row r="351" spans="1:34" ht="15" customHeight="1" thickBot="1">
      <c r="A351" s="723" t="s">
        <v>27</v>
      </c>
      <c r="B351" s="724"/>
      <c r="C351" s="724"/>
      <c r="D351" s="724"/>
      <c r="E351" s="724"/>
      <c r="F351" s="725"/>
      <c r="H351" s="723" t="s">
        <v>27</v>
      </c>
      <c r="I351" s="724"/>
      <c r="J351" s="724"/>
      <c r="K351" s="724"/>
      <c r="L351" s="724"/>
      <c r="M351" s="725"/>
      <c r="O351" s="723" t="s">
        <v>27</v>
      </c>
      <c r="P351" s="724"/>
      <c r="Q351" s="724"/>
      <c r="R351" s="724"/>
      <c r="S351" s="724"/>
      <c r="T351" s="725"/>
      <c r="V351" s="723" t="s">
        <v>27</v>
      </c>
      <c r="W351" s="724"/>
      <c r="X351" s="724"/>
      <c r="Y351" s="724"/>
      <c r="Z351" s="724"/>
      <c r="AA351" s="725"/>
      <c r="AC351" s="723" t="s">
        <v>27</v>
      </c>
      <c r="AD351" s="724"/>
      <c r="AE351" s="724"/>
      <c r="AF351" s="724"/>
      <c r="AG351" s="724"/>
      <c r="AH351" s="725"/>
    </row>
    <row r="352" spans="1:34" ht="15" customHeight="1" thickBot="1">
      <c r="A352" s="8" t="s">
        <v>1</v>
      </c>
      <c r="B352" s="5" t="s">
        <v>2</v>
      </c>
      <c r="C352" s="8" t="s">
        <v>3</v>
      </c>
      <c r="D352" s="8" t="s">
        <v>9</v>
      </c>
      <c r="E352" s="8" t="s">
        <v>10</v>
      </c>
      <c r="F352" s="8" t="s">
        <v>11</v>
      </c>
      <c r="H352" s="8" t="s">
        <v>1</v>
      </c>
      <c r="I352" s="5" t="s">
        <v>2</v>
      </c>
      <c r="J352" s="8" t="s">
        <v>3</v>
      </c>
      <c r="K352" s="8" t="s">
        <v>9</v>
      </c>
      <c r="L352" s="8" t="s">
        <v>10</v>
      </c>
      <c r="M352" s="8" t="s">
        <v>11</v>
      </c>
      <c r="O352" s="8" t="s">
        <v>1</v>
      </c>
      <c r="P352" s="5" t="s">
        <v>2</v>
      </c>
      <c r="Q352" s="8" t="s">
        <v>3</v>
      </c>
      <c r="R352" s="8" t="s">
        <v>9</v>
      </c>
      <c r="S352" s="8" t="s">
        <v>10</v>
      </c>
      <c r="T352" s="8" t="s">
        <v>11</v>
      </c>
      <c r="V352" s="8" t="s">
        <v>1</v>
      </c>
      <c r="W352" s="5" t="s">
        <v>2</v>
      </c>
      <c r="X352" s="8" t="s">
        <v>3</v>
      </c>
      <c r="Y352" s="8" t="s">
        <v>9</v>
      </c>
      <c r="Z352" s="8" t="s">
        <v>10</v>
      </c>
      <c r="AA352" s="8" t="s">
        <v>11</v>
      </c>
      <c r="AC352" s="8" t="s">
        <v>1</v>
      </c>
      <c r="AD352" s="5" t="s">
        <v>2</v>
      </c>
      <c r="AE352" s="8" t="s">
        <v>3</v>
      </c>
      <c r="AF352" s="8" t="s">
        <v>9</v>
      </c>
      <c r="AG352" s="8" t="s">
        <v>10</v>
      </c>
      <c r="AH352" s="8" t="s">
        <v>11</v>
      </c>
    </row>
    <row r="353" spans="1:34" ht="15" customHeight="1" thickBot="1">
      <c r="A353" s="9" t="s">
        <v>196</v>
      </c>
      <c r="B353" s="10" t="s">
        <v>29</v>
      </c>
      <c r="C353" s="9" t="s">
        <v>25</v>
      </c>
      <c r="D353" s="11">
        <v>0.02</v>
      </c>
      <c r="E353" s="13">
        <f>F344</f>
        <v>16.440551587440797</v>
      </c>
      <c r="F353" s="13">
        <f>(D353*E353)</f>
        <v>0.32881103174881593</v>
      </c>
      <c r="H353" s="9" t="s">
        <v>196</v>
      </c>
      <c r="I353" s="10" t="s">
        <v>29</v>
      </c>
      <c r="J353" s="9" t="s">
        <v>25</v>
      </c>
      <c r="K353" s="11">
        <v>0.02</v>
      </c>
      <c r="L353" s="13">
        <f>M344</f>
        <v>16.440551587440797</v>
      </c>
      <c r="M353" s="13">
        <f>(K353*L353)</f>
        <v>0.32881103174881593</v>
      </c>
      <c r="O353" s="9" t="s">
        <v>196</v>
      </c>
      <c r="P353" s="10" t="s">
        <v>29</v>
      </c>
      <c r="Q353" s="9" t="s">
        <v>25</v>
      </c>
      <c r="R353" s="11">
        <v>0.02</v>
      </c>
      <c r="S353" s="13">
        <f>T344</f>
        <v>197.32123073684207</v>
      </c>
      <c r="T353" s="13">
        <f>(R353*S353)</f>
        <v>3.9464246147368414</v>
      </c>
      <c r="V353" s="9" t="s">
        <v>28</v>
      </c>
      <c r="W353" s="10" t="s">
        <v>29</v>
      </c>
      <c r="X353" s="9" t="s">
        <v>25</v>
      </c>
      <c r="Y353" s="11">
        <v>0.02</v>
      </c>
      <c r="Z353" s="13">
        <f>AA344</f>
        <v>62.820096916890073</v>
      </c>
      <c r="AA353" s="13">
        <f>(Y353*Z353)</f>
        <v>1.2564019383378016</v>
      </c>
      <c r="AC353" s="9"/>
      <c r="AD353" s="10"/>
      <c r="AE353" s="9"/>
      <c r="AF353" s="11"/>
      <c r="AG353" s="13"/>
      <c r="AH353" s="13">
        <f>(AF353*AG353)</f>
        <v>0</v>
      </c>
    </row>
    <row r="354" spans="1:34" ht="15" customHeight="1" thickBot="1">
      <c r="A354" s="23"/>
      <c r="B354" s="24"/>
      <c r="C354" s="23"/>
      <c r="D354" s="23"/>
      <c r="E354" s="25"/>
      <c r="F354" s="25"/>
      <c r="H354" s="23"/>
      <c r="I354" s="24"/>
      <c r="J354" s="23"/>
      <c r="K354" s="23"/>
      <c r="L354" s="25"/>
      <c r="M354" s="25"/>
      <c r="O354" s="23" t="s">
        <v>1115</v>
      </c>
      <c r="P354" s="24" t="s">
        <v>1117</v>
      </c>
      <c r="Q354" s="492" t="s">
        <v>888</v>
      </c>
      <c r="R354" s="511">
        <f>R344</f>
        <v>0.21052631578947367</v>
      </c>
      <c r="S354" s="25">
        <f>'ANÁLISIS DE COSTO HORARIO'!C191</f>
        <v>92.301105885780885</v>
      </c>
      <c r="T354" s="25">
        <f>R354*S354</f>
        <v>19.431811765427554</v>
      </c>
      <c r="V354" s="470" t="s">
        <v>30</v>
      </c>
      <c r="W354" s="469" t="s">
        <v>1019</v>
      </c>
      <c r="X354" s="470" t="s">
        <v>1020</v>
      </c>
      <c r="Y354" s="471">
        <f>1/26.03</f>
        <v>3.8417210910487894E-2</v>
      </c>
      <c r="Z354" s="12">
        <f>'ANÁLISIS DE COSTO HORARIO'!C47</f>
        <v>970.04496680797718</v>
      </c>
      <c r="AA354" s="13">
        <f>Y354*Z354</f>
        <v>37.266422082519284</v>
      </c>
      <c r="AC354" s="23"/>
      <c r="AD354" s="24"/>
      <c r="AE354" s="23"/>
      <c r="AF354" s="23"/>
      <c r="AG354" s="25"/>
      <c r="AH354" s="25"/>
    </row>
    <row r="355" spans="1:34" ht="15" customHeight="1" thickBot="1">
      <c r="A355" s="726" t="s">
        <v>34</v>
      </c>
      <c r="B355" s="727"/>
      <c r="C355" s="727"/>
      <c r="D355" s="727"/>
      <c r="E355" s="728"/>
      <c r="F355" s="41">
        <f>SUM(F353:F354)</f>
        <v>0.32881103174881593</v>
      </c>
      <c r="H355" s="726" t="s">
        <v>34</v>
      </c>
      <c r="I355" s="727"/>
      <c r="J355" s="727"/>
      <c r="K355" s="727"/>
      <c r="L355" s="728"/>
      <c r="M355" s="41">
        <f>SUM(M353:M354)</f>
        <v>0.32881103174881593</v>
      </c>
      <c r="O355" s="726" t="s">
        <v>34</v>
      </c>
      <c r="P355" s="727"/>
      <c r="Q355" s="727"/>
      <c r="R355" s="727"/>
      <c r="S355" s="728"/>
      <c r="T355" s="41">
        <f>SUM(T353:T354)</f>
        <v>23.378236380164395</v>
      </c>
      <c r="V355" s="726" t="s">
        <v>34</v>
      </c>
      <c r="W355" s="727"/>
      <c r="X355" s="727"/>
      <c r="Y355" s="727"/>
      <c r="Z355" s="728"/>
      <c r="AA355" s="41">
        <f>SUM(AA353:AA354)</f>
        <v>38.522824020857087</v>
      </c>
      <c r="AC355" s="726" t="s">
        <v>34</v>
      </c>
      <c r="AD355" s="727"/>
      <c r="AE355" s="727"/>
      <c r="AF355" s="727"/>
      <c r="AG355" s="728"/>
      <c r="AH355" s="41">
        <f>SUM(AH353:AH354)</f>
        <v>0</v>
      </c>
    </row>
    <row r="356" spans="1:34" ht="15" customHeight="1" thickBot="1">
      <c r="A356" s="729" t="s">
        <v>35</v>
      </c>
      <c r="B356" s="730"/>
      <c r="C356" s="730"/>
      <c r="D356" s="730"/>
      <c r="E356" s="730"/>
      <c r="F356" s="731"/>
      <c r="H356" s="729" t="s">
        <v>35</v>
      </c>
      <c r="I356" s="730"/>
      <c r="J356" s="730"/>
      <c r="K356" s="730"/>
      <c r="L356" s="730"/>
      <c r="M356" s="731"/>
      <c r="O356" s="729" t="s">
        <v>35</v>
      </c>
      <c r="P356" s="730"/>
      <c r="Q356" s="730"/>
      <c r="R356" s="730"/>
      <c r="S356" s="730"/>
      <c r="T356" s="731"/>
      <c r="V356" s="729" t="s">
        <v>35</v>
      </c>
      <c r="W356" s="730"/>
      <c r="X356" s="730"/>
      <c r="Y356" s="730"/>
      <c r="Z356" s="730"/>
      <c r="AA356" s="731"/>
      <c r="AC356" s="729" t="s">
        <v>35</v>
      </c>
      <c r="AD356" s="730"/>
      <c r="AE356" s="730"/>
      <c r="AF356" s="730"/>
      <c r="AG356" s="730"/>
      <c r="AH356" s="731"/>
    </row>
    <row r="357" spans="1:34" ht="15" customHeight="1" thickBot="1">
      <c r="A357" s="8" t="s">
        <v>1</v>
      </c>
      <c r="B357" s="5" t="s">
        <v>2</v>
      </c>
      <c r="C357" s="8" t="s">
        <v>3</v>
      </c>
      <c r="D357" s="8" t="s">
        <v>9</v>
      </c>
      <c r="E357" s="8" t="s">
        <v>10</v>
      </c>
      <c r="F357" s="8" t="s">
        <v>11</v>
      </c>
      <c r="H357" s="8" t="s">
        <v>1</v>
      </c>
      <c r="I357" s="5" t="s">
        <v>2</v>
      </c>
      <c r="J357" s="8" t="s">
        <v>3</v>
      </c>
      <c r="K357" s="8" t="s">
        <v>9</v>
      </c>
      <c r="L357" s="8" t="s">
        <v>10</v>
      </c>
      <c r="M357" s="8" t="s">
        <v>11</v>
      </c>
      <c r="O357" s="8" t="s">
        <v>1</v>
      </c>
      <c r="P357" s="5" t="s">
        <v>2</v>
      </c>
      <c r="Q357" s="8" t="s">
        <v>3</v>
      </c>
      <c r="R357" s="8" t="s">
        <v>9</v>
      </c>
      <c r="S357" s="8" t="s">
        <v>10</v>
      </c>
      <c r="T357" s="8" t="s">
        <v>11</v>
      </c>
      <c r="V357" s="476" t="s">
        <v>1</v>
      </c>
      <c r="W357" s="477" t="s">
        <v>2</v>
      </c>
      <c r="X357" s="476" t="s">
        <v>3</v>
      </c>
      <c r="Y357" s="476" t="s">
        <v>9</v>
      </c>
      <c r="Z357" s="476" t="s">
        <v>10</v>
      </c>
      <c r="AA357" s="476" t="s">
        <v>11</v>
      </c>
      <c r="AC357" s="8" t="s">
        <v>1</v>
      </c>
      <c r="AD357" s="5" t="s">
        <v>2</v>
      </c>
      <c r="AE357" s="8" t="s">
        <v>3</v>
      </c>
      <c r="AF357" s="8" t="s">
        <v>9</v>
      </c>
      <c r="AG357" s="8" t="s">
        <v>10</v>
      </c>
      <c r="AH357" s="8" t="s">
        <v>11</v>
      </c>
    </row>
    <row r="358" spans="1:34" ht="15" customHeight="1">
      <c r="A358" s="470"/>
      <c r="B358" s="469"/>
      <c r="C358" s="470"/>
      <c r="D358" s="471"/>
      <c r="E358" s="12">
        <v>0</v>
      </c>
      <c r="F358" s="13">
        <f>D358*E358</f>
        <v>0</v>
      </c>
      <c r="H358" s="470"/>
      <c r="I358" s="469"/>
      <c r="J358" s="470"/>
      <c r="K358" s="471"/>
      <c r="L358" s="12">
        <v>0</v>
      </c>
      <c r="M358" s="13">
        <f>K358*L358</f>
        <v>0</v>
      </c>
      <c r="O358" s="470"/>
      <c r="P358" s="469"/>
      <c r="Q358" s="470"/>
      <c r="R358" s="471"/>
      <c r="S358" s="12"/>
      <c r="T358" s="13">
        <f>R358*S358</f>
        <v>0</v>
      </c>
      <c r="V358" s="439"/>
      <c r="W358" s="439"/>
      <c r="X358" s="439"/>
      <c r="Y358" s="439"/>
      <c r="Z358" s="439"/>
      <c r="AA358" s="439"/>
      <c r="AC358" s="470" t="s">
        <v>30</v>
      </c>
      <c r="AD358" s="469" t="s">
        <v>1019</v>
      </c>
      <c r="AE358" s="470" t="s">
        <v>1022</v>
      </c>
      <c r="AF358" s="471">
        <f>1/105.04</f>
        <v>9.5201827875095197E-3</v>
      </c>
      <c r="AG358" s="12">
        <f>'ANÁLISIS DE COSTO HORARIO'!C47</f>
        <v>970.04496680797718</v>
      </c>
      <c r="AH358" s="13">
        <f>AF358*AG358</f>
        <v>9.2350053961155485</v>
      </c>
    </row>
    <row r="359" spans="1:34" ht="15" customHeight="1">
      <c r="A359" s="42"/>
      <c r="B359" s="43"/>
      <c r="C359" s="42"/>
      <c r="D359" s="42"/>
      <c r="E359" s="44"/>
      <c r="F359" s="20"/>
      <c r="H359" s="42"/>
      <c r="I359" s="43"/>
      <c r="J359" s="42"/>
      <c r="K359" s="42"/>
      <c r="L359" s="44"/>
      <c r="M359" s="20"/>
      <c r="O359" s="42"/>
      <c r="P359" s="43"/>
      <c r="Q359" s="42"/>
      <c r="R359" s="42"/>
      <c r="S359" s="44"/>
      <c r="T359" s="20"/>
      <c r="V359" s="478"/>
      <c r="W359" s="479"/>
      <c r="X359" s="478"/>
      <c r="Y359" s="478"/>
      <c r="Z359" s="480"/>
      <c r="AA359" s="481"/>
      <c r="AC359" s="42"/>
      <c r="AD359" s="43"/>
      <c r="AE359" s="42"/>
      <c r="AF359" s="42"/>
      <c r="AG359" s="44"/>
      <c r="AH359" s="20"/>
    </row>
    <row r="360" spans="1:34" ht="15" customHeight="1" thickBot="1">
      <c r="A360" s="23"/>
      <c r="B360" s="24"/>
      <c r="C360" s="23"/>
      <c r="D360" s="23"/>
      <c r="E360" s="34"/>
      <c r="F360" s="25"/>
      <c r="H360" s="23"/>
      <c r="I360" s="24"/>
      <c r="J360" s="23"/>
      <c r="K360" s="23"/>
      <c r="L360" s="34"/>
      <c r="M360" s="25"/>
      <c r="O360" s="23"/>
      <c r="P360" s="24"/>
      <c r="Q360" s="23"/>
      <c r="R360" s="23"/>
      <c r="S360" s="34"/>
      <c r="T360" s="25"/>
      <c r="V360" s="23"/>
      <c r="W360" s="24"/>
      <c r="X360" s="23"/>
      <c r="Y360" s="23"/>
      <c r="Z360" s="34"/>
      <c r="AA360" s="25"/>
      <c r="AC360" s="23"/>
      <c r="AD360" s="24"/>
      <c r="AE360" s="23"/>
      <c r="AF360" s="23"/>
      <c r="AG360" s="34"/>
      <c r="AH360" s="25"/>
    </row>
    <row r="361" spans="1:34" ht="15" customHeight="1" thickBot="1">
      <c r="A361" s="732" t="s">
        <v>43</v>
      </c>
      <c r="B361" s="746"/>
      <c r="C361" s="746"/>
      <c r="D361" s="746"/>
      <c r="E361" s="747"/>
      <c r="F361" s="49">
        <f>SUM(F358:F360)</f>
        <v>0</v>
      </c>
      <c r="H361" s="732" t="s">
        <v>43</v>
      </c>
      <c r="I361" s="746"/>
      <c r="J361" s="746"/>
      <c r="K361" s="746"/>
      <c r="L361" s="747"/>
      <c r="M361" s="49">
        <f>SUM(M358:M360)</f>
        <v>0</v>
      </c>
      <c r="O361" s="732" t="s">
        <v>43</v>
      </c>
      <c r="P361" s="746"/>
      <c r="Q361" s="746"/>
      <c r="R361" s="746"/>
      <c r="S361" s="747"/>
      <c r="T361" s="49">
        <f>SUM(T358:T360)</f>
        <v>0</v>
      </c>
      <c r="V361" s="732" t="s">
        <v>43</v>
      </c>
      <c r="W361" s="746"/>
      <c r="X361" s="746"/>
      <c r="Y361" s="746"/>
      <c r="Z361" s="747"/>
      <c r="AA361" s="49">
        <f>SUM(AA358:AA360)</f>
        <v>0</v>
      </c>
      <c r="AC361" s="732" t="s">
        <v>43</v>
      </c>
      <c r="AD361" s="746"/>
      <c r="AE361" s="746"/>
      <c r="AF361" s="746"/>
      <c r="AG361" s="747"/>
      <c r="AH361" s="49">
        <f>SUM(AH358:AH360)</f>
        <v>9.2350053961155485</v>
      </c>
    </row>
    <row r="362" spans="1:34" ht="15" customHeight="1" thickBot="1">
      <c r="A362" s="50"/>
      <c r="B362" s="51"/>
      <c r="C362" s="52"/>
      <c r="D362" s="52"/>
      <c r="E362" s="52"/>
      <c r="F362" s="52"/>
      <c r="H362" s="50"/>
      <c r="I362" s="51"/>
      <c r="J362" s="52"/>
      <c r="K362" s="52"/>
      <c r="L362" s="52"/>
      <c r="M362" s="52"/>
      <c r="O362" s="50"/>
      <c r="P362" s="51"/>
      <c r="Q362" s="52"/>
      <c r="R362" s="52"/>
      <c r="S362" s="52"/>
      <c r="T362" s="52"/>
      <c r="V362" s="50"/>
      <c r="W362" s="51"/>
      <c r="X362" s="52"/>
      <c r="Y362" s="52"/>
      <c r="Z362" s="52"/>
      <c r="AA362" s="52"/>
      <c r="AC362" s="50"/>
      <c r="AD362" s="51"/>
      <c r="AE362" s="52"/>
      <c r="AF362" s="52"/>
      <c r="AG362" s="52"/>
      <c r="AH362" s="52"/>
    </row>
    <row r="363" spans="1:34" ht="15" customHeight="1" thickBot="1">
      <c r="A363" s="687" t="s">
        <v>44</v>
      </c>
      <c r="B363" s="748"/>
      <c r="C363" s="748"/>
      <c r="D363" s="748"/>
      <c r="E363" s="749"/>
      <c r="F363" s="54">
        <f>SUM(F361,F341,F346,F350,F355)</f>
        <v>17.262579166812838</v>
      </c>
      <c r="H363" s="687" t="s">
        <v>44</v>
      </c>
      <c r="I363" s="748"/>
      <c r="J363" s="748"/>
      <c r="K363" s="748"/>
      <c r="L363" s="749"/>
      <c r="M363" s="54">
        <f>SUM(M361,M341,M346,M350,M355)</f>
        <v>17.262579166812838</v>
      </c>
      <c r="O363" s="687" t="s">
        <v>44</v>
      </c>
      <c r="P363" s="748"/>
      <c r="Q363" s="748"/>
      <c r="R363" s="748"/>
      <c r="S363" s="749"/>
      <c r="T363" s="54">
        <f>SUM(T361,T341,T346,T350,T355)</f>
        <v>226.61910403911173</v>
      </c>
      <c r="V363" s="687" t="s">
        <v>44</v>
      </c>
      <c r="W363" s="748"/>
      <c r="X363" s="748"/>
      <c r="Y363" s="748"/>
      <c r="Z363" s="749"/>
      <c r="AA363" s="54">
        <f>SUM(AA361,AA341,AA346,AA350,AA355)</f>
        <v>103.22752384525386</v>
      </c>
      <c r="AC363" s="687" t="s">
        <v>44</v>
      </c>
      <c r="AD363" s="748"/>
      <c r="AE363" s="748"/>
      <c r="AF363" s="748"/>
      <c r="AG363" s="749"/>
      <c r="AH363" s="54">
        <f>SUM(AH361,AH341,AH346,AH350,AH355)</f>
        <v>9.2350053961155485</v>
      </c>
    </row>
    <row r="364" spans="1:34" ht="15" customHeight="1" thickBot="1">
      <c r="A364" s="687" t="s">
        <v>45</v>
      </c>
      <c r="B364" s="688"/>
      <c r="C364" s="688"/>
      <c r="D364" s="688"/>
      <c r="E364" s="55"/>
      <c r="F364" s="54"/>
      <c r="H364" s="687" t="s">
        <v>45</v>
      </c>
      <c r="I364" s="688"/>
      <c r="J364" s="688"/>
      <c r="K364" s="688"/>
      <c r="L364" s="55"/>
      <c r="M364" s="54"/>
      <c r="O364" s="687" t="s">
        <v>45</v>
      </c>
      <c r="P364" s="688"/>
      <c r="Q364" s="688"/>
      <c r="R364" s="688"/>
      <c r="S364" s="55"/>
      <c r="T364" s="54"/>
      <c r="V364" s="687" t="s">
        <v>45</v>
      </c>
      <c r="W364" s="688"/>
      <c r="X364" s="688"/>
      <c r="Y364" s="688"/>
      <c r="Z364" s="55"/>
      <c r="AA364" s="54"/>
      <c r="AC364" s="687" t="s">
        <v>45</v>
      </c>
      <c r="AD364" s="688"/>
      <c r="AE364" s="688"/>
      <c r="AF364" s="688"/>
      <c r="AG364" s="55"/>
      <c r="AH364" s="54"/>
    </row>
    <row r="365" spans="1:34" ht="15" customHeight="1" thickBot="1">
      <c r="A365" s="687" t="s">
        <v>46</v>
      </c>
      <c r="B365" s="688"/>
      <c r="C365" s="688"/>
      <c r="D365" s="688"/>
      <c r="E365" s="689"/>
      <c r="F365" s="54"/>
      <c r="H365" s="687" t="s">
        <v>46</v>
      </c>
      <c r="I365" s="688"/>
      <c r="J365" s="688"/>
      <c r="K365" s="688"/>
      <c r="L365" s="689"/>
      <c r="M365" s="54"/>
      <c r="O365" s="687" t="s">
        <v>46</v>
      </c>
      <c r="P365" s="688"/>
      <c r="Q365" s="688"/>
      <c r="R365" s="688"/>
      <c r="S365" s="689"/>
      <c r="T365" s="54"/>
      <c r="V365" s="687" t="s">
        <v>46</v>
      </c>
      <c r="W365" s="688"/>
      <c r="X365" s="688"/>
      <c r="Y365" s="688"/>
      <c r="Z365" s="689"/>
      <c r="AA365" s="54"/>
      <c r="AC365" s="687" t="s">
        <v>46</v>
      </c>
      <c r="AD365" s="688"/>
      <c r="AE365" s="688"/>
      <c r="AF365" s="688"/>
      <c r="AG365" s="689"/>
      <c r="AH365" s="54"/>
    </row>
    <row r="366" spans="1:34" ht="15" customHeight="1" thickBot="1">
      <c r="A366" s="687" t="s">
        <v>47</v>
      </c>
      <c r="B366" s="688"/>
      <c r="C366" s="688"/>
      <c r="D366" s="688"/>
      <c r="E366" s="56"/>
      <c r="F366" s="54"/>
      <c r="H366" s="687" t="s">
        <v>47</v>
      </c>
      <c r="I366" s="688"/>
      <c r="J366" s="688"/>
      <c r="K366" s="688"/>
      <c r="L366" s="56"/>
      <c r="M366" s="54"/>
      <c r="O366" s="687" t="s">
        <v>47</v>
      </c>
      <c r="P366" s="688"/>
      <c r="Q366" s="688"/>
      <c r="R366" s="688"/>
      <c r="S366" s="56"/>
      <c r="T366" s="54"/>
      <c r="V366" s="687" t="s">
        <v>47</v>
      </c>
      <c r="W366" s="688"/>
      <c r="X366" s="688"/>
      <c r="Y366" s="688"/>
      <c r="Z366" s="56"/>
      <c r="AA366" s="54"/>
      <c r="AC366" s="687" t="s">
        <v>47</v>
      </c>
      <c r="AD366" s="688"/>
      <c r="AE366" s="688"/>
      <c r="AF366" s="688"/>
      <c r="AG366" s="56"/>
      <c r="AH366" s="54"/>
    </row>
    <row r="367" spans="1:34" ht="15" customHeight="1" thickBot="1">
      <c r="A367" s="687" t="s">
        <v>46</v>
      </c>
      <c r="B367" s="688"/>
      <c r="C367" s="688"/>
      <c r="D367" s="688"/>
      <c r="E367" s="689"/>
      <c r="F367" s="54"/>
      <c r="H367" s="687" t="s">
        <v>46</v>
      </c>
      <c r="I367" s="688"/>
      <c r="J367" s="688"/>
      <c r="K367" s="688"/>
      <c r="L367" s="689"/>
      <c r="M367" s="54"/>
      <c r="O367" s="687" t="s">
        <v>46</v>
      </c>
      <c r="P367" s="688"/>
      <c r="Q367" s="688"/>
      <c r="R367" s="688"/>
      <c r="S367" s="689"/>
      <c r="T367" s="54"/>
      <c r="V367" s="687" t="s">
        <v>46</v>
      </c>
      <c r="W367" s="688"/>
      <c r="X367" s="688"/>
      <c r="Y367" s="688"/>
      <c r="Z367" s="689"/>
      <c r="AA367" s="54"/>
      <c r="AC367" s="687" t="s">
        <v>46</v>
      </c>
      <c r="AD367" s="688"/>
      <c r="AE367" s="688"/>
      <c r="AF367" s="688"/>
      <c r="AG367" s="689"/>
      <c r="AH367" s="54"/>
    </row>
    <row r="368" spans="1:34" ht="15" customHeight="1" thickBot="1">
      <c r="A368" s="687" t="s">
        <v>48</v>
      </c>
      <c r="B368" s="688"/>
      <c r="C368" s="688"/>
      <c r="D368" s="688"/>
      <c r="E368" s="55"/>
      <c r="F368" s="54"/>
      <c r="H368" s="687" t="s">
        <v>48</v>
      </c>
      <c r="I368" s="688"/>
      <c r="J368" s="688"/>
      <c r="K368" s="688"/>
      <c r="L368" s="55"/>
      <c r="M368" s="54"/>
      <c r="O368" s="687" t="s">
        <v>48</v>
      </c>
      <c r="P368" s="688"/>
      <c r="Q368" s="688"/>
      <c r="R368" s="688"/>
      <c r="S368" s="55"/>
      <c r="T368" s="54"/>
      <c r="V368" s="687" t="s">
        <v>48</v>
      </c>
      <c r="W368" s="688"/>
      <c r="X368" s="688"/>
      <c r="Y368" s="688"/>
      <c r="Z368" s="55"/>
      <c r="AA368" s="54"/>
      <c r="AC368" s="687" t="s">
        <v>48</v>
      </c>
      <c r="AD368" s="688"/>
      <c r="AE368" s="688"/>
      <c r="AF368" s="688"/>
      <c r="AG368" s="55"/>
      <c r="AH368" s="54"/>
    </row>
    <row r="369" spans="1:256" ht="15" customHeight="1" thickBot="1">
      <c r="A369" s="687" t="s">
        <v>46</v>
      </c>
      <c r="B369" s="688"/>
      <c r="C369" s="688"/>
      <c r="D369" s="688"/>
      <c r="E369" s="689"/>
      <c r="F369" s="54"/>
      <c r="H369" s="687" t="s">
        <v>46</v>
      </c>
      <c r="I369" s="688"/>
      <c r="J369" s="688"/>
      <c r="K369" s="688"/>
      <c r="L369" s="689"/>
      <c r="M369" s="54"/>
      <c r="O369" s="687" t="s">
        <v>46</v>
      </c>
      <c r="P369" s="688"/>
      <c r="Q369" s="688"/>
      <c r="R369" s="688"/>
      <c r="S369" s="689"/>
      <c r="T369" s="54"/>
      <c r="V369" s="687" t="s">
        <v>46</v>
      </c>
      <c r="W369" s="688"/>
      <c r="X369" s="688"/>
      <c r="Y369" s="688"/>
      <c r="Z369" s="689"/>
      <c r="AA369" s="54"/>
      <c r="AC369" s="687" t="s">
        <v>46</v>
      </c>
      <c r="AD369" s="688"/>
      <c r="AE369" s="688"/>
      <c r="AF369" s="688"/>
      <c r="AG369" s="689"/>
      <c r="AH369" s="54"/>
    </row>
    <row r="370" spans="1:256" ht="15" customHeight="1" thickBot="1">
      <c r="A370" s="687" t="s">
        <v>49</v>
      </c>
      <c r="B370" s="688"/>
      <c r="C370" s="688"/>
      <c r="D370" s="688"/>
      <c r="E370" s="56"/>
      <c r="F370" s="54"/>
      <c r="H370" s="687" t="s">
        <v>49</v>
      </c>
      <c r="I370" s="688"/>
      <c r="J370" s="688"/>
      <c r="K370" s="688"/>
      <c r="L370" s="56"/>
      <c r="M370" s="54"/>
      <c r="O370" s="687" t="s">
        <v>49</v>
      </c>
      <c r="P370" s="688"/>
      <c r="Q370" s="688"/>
      <c r="R370" s="688"/>
      <c r="S370" s="56"/>
      <c r="T370" s="54"/>
      <c r="V370" s="687" t="s">
        <v>49</v>
      </c>
      <c r="W370" s="688"/>
      <c r="X370" s="688"/>
      <c r="Y370" s="688"/>
      <c r="Z370" s="56"/>
      <c r="AA370" s="54"/>
      <c r="AC370" s="687" t="s">
        <v>49</v>
      </c>
      <c r="AD370" s="688"/>
      <c r="AE370" s="688"/>
      <c r="AF370" s="688"/>
      <c r="AG370" s="56"/>
      <c r="AH370" s="54"/>
    </row>
    <row r="371" spans="1:256" ht="15" customHeight="1" thickBot="1">
      <c r="A371" s="690" t="s">
        <v>50</v>
      </c>
      <c r="B371" s="691"/>
      <c r="C371" s="691"/>
      <c r="D371" s="691"/>
      <c r="E371" s="692"/>
      <c r="F371" s="57"/>
      <c r="H371" s="690" t="s">
        <v>50</v>
      </c>
      <c r="I371" s="691"/>
      <c r="J371" s="691"/>
      <c r="K371" s="691"/>
      <c r="L371" s="692"/>
      <c r="M371" s="57"/>
      <c r="O371" s="690" t="s">
        <v>50</v>
      </c>
      <c r="P371" s="691"/>
      <c r="Q371" s="691"/>
      <c r="R371" s="691"/>
      <c r="S371" s="692"/>
      <c r="T371" s="57"/>
      <c r="V371" s="690" t="s">
        <v>50</v>
      </c>
      <c r="W371" s="691"/>
      <c r="X371" s="691"/>
      <c r="Y371" s="691"/>
      <c r="Z371" s="692"/>
      <c r="AA371" s="57"/>
      <c r="AC371" s="690" t="s">
        <v>50</v>
      </c>
      <c r="AD371" s="691"/>
      <c r="AE371" s="691"/>
      <c r="AF371" s="691"/>
      <c r="AG371" s="692"/>
      <c r="AH371" s="57"/>
    </row>
    <row r="372" spans="1:256" ht="15" customHeight="1" thickBot="1">
      <c r="A372" s="693" t="s">
        <v>1417</v>
      </c>
      <c r="B372" s="694"/>
      <c r="C372" s="694"/>
      <c r="D372" s="694"/>
      <c r="E372" s="694"/>
      <c r="F372" s="695"/>
      <c r="H372" s="693" t="s">
        <v>1417</v>
      </c>
      <c r="I372" s="694"/>
      <c r="J372" s="694"/>
      <c r="K372" s="694"/>
      <c r="L372" s="694"/>
      <c r="M372" s="695"/>
      <c r="O372" s="693" t="s">
        <v>1411</v>
      </c>
      <c r="P372" s="694"/>
      <c r="Q372" s="694"/>
      <c r="R372" s="694"/>
      <c r="S372" s="694"/>
      <c r="T372" s="695"/>
      <c r="V372" s="693" t="s">
        <v>1418</v>
      </c>
      <c r="W372" s="694"/>
      <c r="X372" s="694"/>
      <c r="Y372" s="694"/>
      <c r="Z372" s="694"/>
      <c r="AA372" s="695"/>
      <c r="AC372" s="693" t="s">
        <v>1408</v>
      </c>
      <c r="AD372" s="694"/>
      <c r="AE372" s="694"/>
      <c r="AF372" s="694"/>
      <c r="AG372" s="694"/>
      <c r="AH372" s="695"/>
    </row>
    <row r="373" spans="1:256" ht="15" customHeight="1" thickBot="1">
      <c r="AC373" s="228"/>
      <c r="AD373" s="228"/>
      <c r="AE373" s="228"/>
      <c r="AF373" s="228"/>
      <c r="AG373" s="228"/>
      <c r="AH373" s="228"/>
    </row>
    <row r="374" spans="1:256" ht="26.4" thickBot="1">
      <c r="A374" s="696" t="s">
        <v>0</v>
      </c>
      <c r="B374" s="697"/>
      <c r="C374" s="697"/>
      <c r="D374" s="697"/>
      <c r="E374" s="697"/>
      <c r="F374" s="698"/>
      <c r="H374" s="752" t="s">
        <v>0</v>
      </c>
      <c r="I374" s="753"/>
      <c r="J374" s="753"/>
      <c r="K374" s="753"/>
      <c r="L374" s="753"/>
      <c r="M374" s="754"/>
      <c r="O374" s="752" t="s">
        <v>0</v>
      </c>
      <c r="P374" s="753"/>
      <c r="Q374" s="753"/>
      <c r="R374" s="753"/>
      <c r="S374" s="753"/>
      <c r="T374" s="754"/>
      <c r="IQ374"/>
      <c r="IR374"/>
      <c r="IS374"/>
      <c r="IT374"/>
      <c r="IU374"/>
      <c r="IV374"/>
    </row>
    <row r="375" spans="1:256" ht="15" customHeight="1" thickBot="1">
      <c r="A375" s="4" t="s">
        <v>1</v>
      </c>
      <c r="B375" s="699" t="s">
        <v>2</v>
      </c>
      <c r="C375" s="700"/>
      <c r="D375" s="700"/>
      <c r="E375" s="701"/>
      <c r="F375" s="3" t="s">
        <v>3</v>
      </c>
      <c r="H375" s="387" t="s">
        <v>1</v>
      </c>
      <c r="I375" s="758" t="s">
        <v>2</v>
      </c>
      <c r="J375" s="759"/>
      <c r="K375" s="759"/>
      <c r="L375" s="760"/>
      <c r="M375" s="387" t="s">
        <v>3</v>
      </c>
      <c r="O375" s="387" t="s">
        <v>1</v>
      </c>
      <c r="P375" s="758" t="s">
        <v>2</v>
      </c>
      <c r="Q375" s="759"/>
      <c r="R375" s="759"/>
      <c r="S375" s="760"/>
      <c r="T375" s="387" t="s">
        <v>3</v>
      </c>
      <c r="IQ375"/>
      <c r="IR375"/>
      <c r="IS375"/>
      <c r="IT375"/>
      <c r="IU375"/>
      <c r="IV375"/>
    </row>
    <row r="376" spans="1:256" ht="93" customHeight="1" thickBot="1">
      <c r="A376" s="497" t="s">
        <v>825</v>
      </c>
      <c r="B376" s="702" t="s">
        <v>1120</v>
      </c>
      <c r="C376" s="703"/>
      <c r="D376" s="703"/>
      <c r="E376" s="704"/>
      <c r="F376" s="5" t="s">
        <v>6</v>
      </c>
      <c r="H376" s="388" t="s">
        <v>828</v>
      </c>
      <c r="I376" s="761" t="s">
        <v>1262</v>
      </c>
      <c r="J376" s="762"/>
      <c r="K376" s="762"/>
      <c r="L376" s="763"/>
      <c r="M376" s="388" t="s">
        <v>833</v>
      </c>
      <c r="O376" s="388" t="s">
        <v>829</v>
      </c>
      <c r="P376" s="761" t="s">
        <v>1261</v>
      </c>
      <c r="Q376" s="762"/>
      <c r="R376" s="762"/>
      <c r="S376" s="763"/>
      <c r="T376" s="388" t="s">
        <v>833</v>
      </c>
      <c r="IQ376"/>
      <c r="IR376"/>
      <c r="IS376"/>
      <c r="IT376"/>
      <c r="IU376"/>
      <c r="IV376"/>
    </row>
    <row r="377" spans="1:256" ht="15" customHeight="1" thickBot="1">
      <c r="A377" s="705" t="s">
        <v>8</v>
      </c>
      <c r="B377" s="706"/>
      <c r="C377" s="706"/>
      <c r="D377" s="706"/>
      <c r="E377" s="706"/>
      <c r="F377" s="707"/>
      <c r="H377" s="705" t="s">
        <v>8</v>
      </c>
      <c r="I377" s="706"/>
      <c r="J377" s="706"/>
      <c r="K377" s="706"/>
      <c r="L377" s="706"/>
      <c r="M377" s="707"/>
      <c r="O377" s="705" t="s">
        <v>8</v>
      </c>
      <c r="P377" s="706"/>
      <c r="Q377" s="706"/>
      <c r="R377" s="706"/>
      <c r="S377" s="706"/>
      <c r="T377" s="707"/>
      <c r="IQ377"/>
      <c r="IR377"/>
      <c r="IS377"/>
      <c r="IT377"/>
      <c r="IU377"/>
      <c r="IV377"/>
    </row>
    <row r="378" spans="1:256" ht="15" customHeight="1" thickBot="1">
      <c r="A378" s="8" t="s">
        <v>1</v>
      </c>
      <c r="B378" s="5" t="s">
        <v>2</v>
      </c>
      <c r="C378" s="8" t="s">
        <v>3</v>
      </c>
      <c r="D378" s="8" t="s">
        <v>9</v>
      </c>
      <c r="E378" s="8" t="s">
        <v>10</v>
      </c>
      <c r="F378" s="8" t="s">
        <v>11</v>
      </c>
      <c r="H378" s="389" t="s">
        <v>1</v>
      </c>
      <c r="I378" s="390" t="s">
        <v>2</v>
      </c>
      <c r="J378" s="389" t="s">
        <v>3</v>
      </c>
      <c r="K378" s="389" t="s">
        <v>9</v>
      </c>
      <c r="L378" s="389" t="s">
        <v>10</v>
      </c>
      <c r="M378" s="389" t="s">
        <v>11</v>
      </c>
      <c r="O378" s="389" t="s">
        <v>1</v>
      </c>
      <c r="P378" s="390" t="s">
        <v>2</v>
      </c>
      <c r="Q378" s="389" t="s">
        <v>3</v>
      </c>
      <c r="R378" s="389" t="s">
        <v>9</v>
      </c>
      <c r="S378" s="389" t="s">
        <v>10</v>
      </c>
      <c r="T378" s="389" t="s">
        <v>11</v>
      </c>
      <c r="IQ378"/>
      <c r="IR378"/>
      <c r="IS378"/>
      <c r="IT378"/>
      <c r="IU378"/>
      <c r="IV378"/>
    </row>
    <row r="379" spans="1:256" ht="15" customHeight="1">
      <c r="A379" s="14"/>
      <c r="B379" s="15"/>
      <c r="C379" s="14"/>
      <c r="D379" s="14"/>
      <c r="E379" s="13"/>
      <c r="F379" s="13"/>
      <c r="H379" s="391"/>
      <c r="I379" s="392"/>
      <c r="J379" s="391"/>
      <c r="K379" s="391"/>
      <c r="L379" s="393"/>
      <c r="M379" s="393"/>
      <c r="O379" s="391"/>
      <c r="P379" s="392"/>
      <c r="Q379" s="391"/>
      <c r="R379" s="391"/>
      <c r="S379" s="393"/>
      <c r="T379" s="393"/>
      <c r="IQ379"/>
      <c r="IR379"/>
      <c r="IS379"/>
      <c r="IT379"/>
      <c r="IU379"/>
      <c r="IV379"/>
    </row>
    <row r="380" spans="1:256" ht="15" customHeight="1">
      <c r="A380" s="21"/>
      <c r="B380" s="22"/>
      <c r="C380" s="21"/>
      <c r="D380" s="21"/>
      <c r="E380" s="20"/>
      <c r="F380" s="20"/>
      <c r="H380" s="394"/>
      <c r="I380" s="395"/>
      <c r="J380" s="394"/>
      <c r="K380" s="394"/>
      <c r="L380" s="396"/>
      <c r="M380" s="396"/>
      <c r="O380" s="394"/>
      <c r="P380" s="395"/>
      <c r="Q380" s="394"/>
      <c r="R380" s="394"/>
      <c r="S380" s="396"/>
      <c r="T380" s="396"/>
      <c r="IQ380"/>
      <c r="IR380"/>
      <c r="IS380"/>
      <c r="IT380"/>
      <c r="IU380"/>
      <c r="IV380"/>
    </row>
    <row r="381" spans="1:256" ht="15" customHeight="1">
      <c r="A381" s="21"/>
      <c r="B381" s="22"/>
      <c r="C381" s="21"/>
      <c r="D381" s="21"/>
      <c r="E381" s="20"/>
      <c r="F381" s="20"/>
      <c r="H381" s="394"/>
      <c r="I381" s="395"/>
      <c r="J381" s="394"/>
      <c r="K381" s="394"/>
      <c r="L381" s="396"/>
      <c r="M381" s="396"/>
      <c r="O381" s="394"/>
      <c r="P381" s="395"/>
      <c r="Q381" s="394"/>
      <c r="R381" s="394"/>
      <c r="S381" s="396"/>
      <c r="T381" s="396"/>
      <c r="IQ381"/>
      <c r="IR381"/>
      <c r="IS381"/>
      <c r="IT381"/>
      <c r="IU381"/>
      <c r="IV381"/>
    </row>
    <row r="382" spans="1:256" ht="15" customHeight="1">
      <c r="A382" s="21"/>
      <c r="B382" s="22"/>
      <c r="C382" s="21"/>
      <c r="D382" s="21"/>
      <c r="E382" s="20"/>
      <c r="F382" s="20"/>
      <c r="H382" s="394"/>
      <c r="I382" s="395"/>
      <c r="J382" s="394"/>
      <c r="K382" s="394"/>
      <c r="L382" s="396"/>
      <c r="M382" s="396"/>
      <c r="O382" s="394"/>
      <c r="P382" s="395"/>
      <c r="Q382" s="394"/>
      <c r="R382" s="394"/>
      <c r="S382" s="396"/>
      <c r="T382" s="396"/>
      <c r="IQ382"/>
      <c r="IR382"/>
      <c r="IS382"/>
      <c r="IT382"/>
      <c r="IU382"/>
      <c r="IV382"/>
    </row>
    <row r="383" spans="1:256" ht="15" customHeight="1">
      <c r="A383" s="21"/>
      <c r="B383" s="22"/>
      <c r="C383" s="21"/>
      <c r="D383" s="21"/>
      <c r="E383" s="20"/>
      <c r="F383" s="20"/>
      <c r="H383" s="394"/>
      <c r="I383" s="395"/>
      <c r="J383" s="394"/>
      <c r="K383" s="394"/>
      <c r="L383" s="396"/>
      <c r="M383" s="396"/>
      <c r="O383" s="394"/>
      <c r="P383" s="395"/>
      <c r="Q383" s="394"/>
      <c r="R383" s="394"/>
      <c r="S383" s="396"/>
      <c r="T383" s="396"/>
      <c r="IQ383"/>
      <c r="IR383"/>
      <c r="IS383"/>
      <c r="IT383"/>
      <c r="IU383"/>
      <c r="IV383"/>
    </row>
    <row r="384" spans="1:256" ht="15" customHeight="1">
      <c r="A384" s="21"/>
      <c r="B384" s="22"/>
      <c r="C384" s="21"/>
      <c r="D384" s="21"/>
      <c r="E384" s="20"/>
      <c r="F384" s="20"/>
      <c r="H384" s="394"/>
      <c r="I384" s="395"/>
      <c r="J384" s="394"/>
      <c r="K384" s="394"/>
      <c r="L384" s="396"/>
      <c r="M384" s="396"/>
      <c r="O384" s="394"/>
      <c r="P384" s="395"/>
      <c r="Q384" s="394"/>
      <c r="R384" s="394"/>
      <c r="S384" s="396"/>
      <c r="T384" s="396"/>
      <c r="IQ384"/>
      <c r="IR384"/>
      <c r="IS384"/>
      <c r="IT384"/>
      <c r="IU384"/>
      <c r="IV384"/>
    </row>
    <row r="385" spans="1:256" ht="15" customHeight="1" thickBot="1">
      <c r="A385" s="23"/>
      <c r="B385" s="24"/>
      <c r="C385" s="23"/>
      <c r="D385" s="23"/>
      <c r="E385" s="25"/>
      <c r="F385" s="25"/>
      <c r="H385" s="397"/>
      <c r="I385" s="398"/>
      <c r="J385" s="397"/>
      <c r="K385" s="397"/>
      <c r="L385" s="399"/>
      <c r="M385" s="399"/>
      <c r="O385" s="397"/>
      <c r="P385" s="398"/>
      <c r="Q385" s="397"/>
      <c r="R385" s="397"/>
      <c r="S385" s="399"/>
      <c r="T385" s="399"/>
      <c r="IQ385"/>
      <c r="IR385"/>
      <c r="IS385"/>
      <c r="IT385"/>
      <c r="IU385"/>
      <c r="IV385"/>
    </row>
    <row r="386" spans="1:256" ht="15" customHeight="1" thickBot="1">
      <c r="A386" s="708" t="s">
        <v>18</v>
      </c>
      <c r="B386" s="709"/>
      <c r="C386" s="709"/>
      <c r="D386" s="709"/>
      <c r="E386" s="710"/>
      <c r="F386" s="26">
        <f>SUM(F379:F385)</f>
        <v>0</v>
      </c>
      <c r="H386" s="708" t="s">
        <v>18</v>
      </c>
      <c r="I386" s="709"/>
      <c r="J386" s="709"/>
      <c r="K386" s="709"/>
      <c r="L386" s="710"/>
      <c r="M386" s="26">
        <f>SUM(M379:M385)</f>
        <v>0</v>
      </c>
      <c r="O386" s="708" t="s">
        <v>18</v>
      </c>
      <c r="P386" s="709"/>
      <c r="Q386" s="709"/>
      <c r="R386" s="709"/>
      <c r="S386" s="710"/>
      <c r="T386" s="26">
        <f>SUM(T379:T385)</f>
        <v>0</v>
      </c>
      <c r="IQ386"/>
      <c r="IR386"/>
      <c r="IS386"/>
      <c r="IT386"/>
      <c r="IU386"/>
      <c r="IV386"/>
    </row>
    <row r="387" spans="1:256" ht="15" customHeight="1" thickBot="1">
      <c r="A387" s="711" t="s">
        <v>19</v>
      </c>
      <c r="B387" s="712"/>
      <c r="C387" s="712"/>
      <c r="D387" s="712"/>
      <c r="E387" s="712"/>
      <c r="F387" s="713"/>
      <c r="H387" s="711" t="s">
        <v>19</v>
      </c>
      <c r="I387" s="712"/>
      <c r="J387" s="712"/>
      <c r="K387" s="712"/>
      <c r="L387" s="712"/>
      <c r="M387" s="713"/>
      <c r="O387" s="711" t="s">
        <v>19</v>
      </c>
      <c r="P387" s="712"/>
      <c r="Q387" s="712"/>
      <c r="R387" s="712"/>
      <c r="S387" s="712"/>
      <c r="T387" s="713"/>
      <c r="IQ387"/>
      <c r="IR387"/>
      <c r="IS387"/>
      <c r="IT387"/>
      <c r="IU387"/>
      <c r="IV387"/>
    </row>
    <row r="388" spans="1:256" ht="15" customHeight="1" thickBot="1">
      <c r="A388" s="8" t="s">
        <v>1</v>
      </c>
      <c r="B388" s="5" t="s">
        <v>2</v>
      </c>
      <c r="C388" s="8" t="s">
        <v>3</v>
      </c>
      <c r="D388" s="8" t="s">
        <v>9</v>
      </c>
      <c r="E388" s="8" t="s">
        <v>10</v>
      </c>
      <c r="F388" s="8" t="s">
        <v>11</v>
      </c>
      <c r="H388" s="389" t="s">
        <v>1</v>
      </c>
      <c r="I388" s="390" t="s">
        <v>2</v>
      </c>
      <c r="J388" s="389" t="s">
        <v>3</v>
      </c>
      <c r="K388" s="389" t="s">
        <v>9</v>
      </c>
      <c r="L388" s="389" t="s">
        <v>10</v>
      </c>
      <c r="M388" s="389" t="s">
        <v>11</v>
      </c>
      <c r="O388" s="389" t="s">
        <v>1</v>
      </c>
      <c r="P388" s="390" t="s">
        <v>2</v>
      </c>
      <c r="Q388" s="389" t="s">
        <v>3</v>
      </c>
      <c r="R388" s="389" t="s">
        <v>9</v>
      </c>
      <c r="S388" s="389" t="s">
        <v>10</v>
      </c>
      <c r="T388" s="389" t="s">
        <v>11</v>
      </c>
      <c r="IQ388"/>
      <c r="IR388"/>
      <c r="IS388"/>
      <c r="IT388"/>
      <c r="IU388"/>
      <c r="IV388"/>
    </row>
    <row r="389" spans="1:256" ht="15" customHeight="1">
      <c r="A389" s="9" t="s">
        <v>255</v>
      </c>
      <c r="B389" s="10" t="s">
        <v>22</v>
      </c>
      <c r="C389" s="9" t="s">
        <v>21</v>
      </c>
      <c r="D389" s="27">
        <f>1/32</f>
        <v>3.125E-2</v>
      </c>
      <c r="E389" s="12">
        <f>'ANÁLISIS CUADRILLAS'!F7</f>
        <v>1160.5378059999998</v>
      </c>
      <c r="F389" s="13">
        <f>D389*E389</f>
        <v>36.266806437499994</v>
      </c>
      <c r="H389" s="512" t="s">
        <v>255</v>
      </c>
      <c r="I389" s="402" t="s">
        <v>845</v>
      </c>
      <c r="J389" s="403" t="s">
        <v>21</v>
      </c>
      <c r="K389" s="404">
        <f>1/11.76</f>
        <v>8.5034013605442174E-2</v>
      </c>
      <c r="L389" s="405">
        <f>'ANÁLISIS CUADRILLAS'!F7</f>
        <v>1160.5378059999998</v>
      </c>
      <c r="M389" s="393">
        <f>K389*L389</f>
        <v>98.685187585034001</v>
      </c>
      <c r="O389" s="512" t="s">
        <v>255</v>
      </c>
      <c r="P389" s="402" t="s">
        <v>845</v>
      </c>
      <c r="Q389" s="403" t="s">
        <v>21</v>
      </c>
      <c r="R389" s="404">
        <f>1/11.76</f>
        <v>8.5034013605442174E-2</v>
      </c>
      <c r="S389" s="405">
        <f>'ANÁLISIS CUADRILLAS'!F7</f>
        <v>1160.5378059999998</v>
      </c>
      <c r="T389" s="393">
        <f>R389*S389</f>
        <v>98.685187585034001</v>
      </c>
      <c r="IQ389"/>
      <c r="IR389"/>
      <c r="IS389"/>
      <c r="IT389"/>
      <c r="IU389"/>
      <c r="IV389"/>
    </row>
    <row r="390" spans="1:256" ht="15" customHeight="1" thickBot="1">
      <c r="A390" s="21"/>
      <c r="B390" s="22"/>
      <c r="C390" s="21"/>
      <c r="D390" s="28"/>
      <c r="E390" s="29"/>
      <c r="F390" s="20"/>
      <c r="H390" s="397"/>
      <c r="I390" s="398"/>
      <c r="J390" s="397"/>
      <c r="K390" s="397"/>
      <c r="L390" s="399"/>
      <c r="M390" s="399"/>
      <c r="O390" s="397"/>
      <c r="P390" s="398"/>
      <c r="Q390" s="397"/>
      <c r="R390" s="397"/>
      <c r="S390" s="399"/>
      <c r="T390" s="399"/>
      <c r="IQ390"/>
      <c r="IR390"/>
      <c r="IS390"/>
      <c r="IT390"/>
      <c r="IU390"/>
      <c r="IV390"/>
    </row>
    <row r="391" spans="1:256" ht="15" customHeight="1" thickBot="1">
      <c r="A391" s="23"/>
      <c r="B391" s="24"/>
      <c r="C391" s="23"/>
      <c r="D391" s="23"/>
      <c r="E391" s="25"/>
      <c r="F391" s="25"/>
      <c r="H391" s="714" t="s">
        <v>18</v>
      </c>
      <c r="I391" s="715"/>
      <c r="J391" s="715"/>
      <c r="K391" s="715"/>
      <c r="L391" s="716"/>
      <c r="M391" s="35">
        <f>SUM(M389:M390)</f>
        <v>98.685187585034001</v>
      </c>
      <c r="O391" s="714" t="s">
        <v>18</v>
      </c>
      <c r="P391" s="715"/>
      <c r="Q391" s="715"/>
      <c r="R391" s="715"/>
      <c r="S391" s="716"/>
      <c r="T391" s="35">
        <f>SUM(T389:T390)</f>
        <v>98.685187585034001</v>
      </c>
      <c r="IQ391"/>
      <c r="IR391"/>
      <c r="IS391"/>
      <c r="IT391"/>
      <c r="IU391"/>
      <c r="IV391"/>
    </row>
    <row r="392" spans="1:256" ht="15" customHeight="1" thickBot="1">
      <c r="A392" s="714" t="s">
        <v>18</v>
      </c>
      <c r="B392" s="715"/>
      <c r="C392" s="715"/>
      <c r="D392" s="715"/>
      <c r="E392" s="716"/>
      <c r="F392" s="35">
        <f>SUM(F389:F391)</f>
        <v>36.266806437499994</v>
      </c>
      <c r="H392" s="717" t="s">
        <v>23</v>
      </c>
      <c r="I392" s="718"/>
      <c r="J392" s="718"/>
      <c r="K392" s="718"/>
      <c r="L392" s="718"/>
      <c r="M392" s="719"/>
      <c r="O392" s="717" t="s">
        <v>23</v>
      </c>
      <c r="P392" s="718"/>
      <c r="Q392" s="718"/>
      <c r="R392" s="718"/>
      <c r="S392" s="718"/>
      <c r="T392" s="719"/>
      <c r="IQ392"/>
      <c r="IR392"/>
      <c r="IS392"/>
      <c r="IT392"/>
      <c r="IU392"/>
      <c r="IV392"/>
    </row>
    <row r="393" spans="1:256" ht="15" customHeight="1" thickBot="1">
      <c r="A393" s="717" t="s">
        <v>23</v>
      </c>
      <c r="B393" s="718"/>
      <c r="C393" s="718"/>
      <c r="D393" s="718"/>
      <c r="E393" s="718"/>
      <c r="F393" s="719"/>
      <c r="H393" s="389" t="s">
        <v>1</v>
      </c>
      <c r="I393" s="390" t="s">
        <v>2</v>
      </c>
      <c r="J393" s="389" t="s">
        <v>3</v>
      </c>
      <c r="K393" s="389" t="s">
        <v>9</v>
      </c>
      <c r="L393" s="389" t="s">
        <v>10</v>
      </c>
      <c r="M393" s="389" t="s">
        <v>11</v>
      </c>
      <c r="O393" s="389" t="s">
        <v>1</v>
      </c>
      <c r="P393" s="390" t="s">
        <v>2</v>
      </c>
      <c r="Q393" s="389" t="s">
        <v>3</v>
      </c>
      <c r="R393" s="389" t="s">
        <v>9</v>
      </c>
      <c r="S393" s="389" t="s">
        <v>10</v>
      </c>
      <c r="T393" s="389" t="s">
        <v>11</v>
      </c>
      <c r="IQ393"/>
      <c r="IR393"/>
      <c r="IS393"/>
      <c r="IT393"/>
      <c r="IU393"/>
      <c r="IV393"/>
    </row>
    <row r="394" spans="1:256" ht="15" customHeight="1" thickBot="1">
      <c r="A394" s="8" t="s">
        <v>1</v>
      </c>
      <c r="B394" s="5" t="s">
        <v>2</v>
      </c>
      <c r="C394" s="8" t="s">
        <v>3</v>
      </c>
      <c r="D394" s="8" t="s">
        <v>9</v>
      </c>
      <c r="E394" s="8" t="s">
        <v>10</v>
      </c>
      <c r="F394" s="8" t="s">
        <v>11</v>
      </c>
      <c r="H394" s="406" t="s">
        <v>24</v>
      </c>
      <c r="I394" s="407" t="s">
        <v>23</v>
      </c>
      <c r="J394" s="406" t="s">
        <v>25</v>
      </c>
      <c r="K394" s="408">
        <v>0.03</v>
      </c>
      <c r="L394" s="409">
        <f>M389</f>
        <v>98.685187585034001</v>
      </c>
      <c r="M394" s="409">
        <f>K394*L394</f>
        <v>2.9605556275510199</v>
      </c>
      <c r="O394" s="406" t="s">
        <v>24</v>
      </c>
      <c r="P394" s="407" t="s">
        <v>23</v>
      </c>
      <c r="Q394" s="406" t="s">
        <v>25</v>
      </c>
      <c r="R394" s="408">
        <v>0.03</v>
      </c>
      <c r="S394" s="409">
        <f>T389</f>
        <v>98.685187585034001</v>
      </c>
      <c r="T394" s="409">
        <f>R394*S394</f>
        <v>2.9605556275510199</v>
      </c>
      <c r="IQ394"/>
      <c r="IR394"/>
      <c r="IS394"/>
      <c r="IT394"/>
      <c r="IU394"/>
      <c r="IV394"/>
    </row>
    <row r="395" spans="1:256" ht="15" customHeight="1" thickBot="1">
      <c r="A395" s="36" t="s">
        <v>24</v>
      </c>
      <c r="B395" s="37" t="s">
        <v>23</v>
      </c>
      <c r="C395" s="36" t="s">
        <v>25</v>
      </c>
      <c r="D395" s="38">
        <v>0.03</v>
      </c>
      <c r="E395" s="39">
        <f>F389</f>
        <v>36.266806437499994</v>
      </c>
      <c r="F395" s="39">
        <f>(D395*E395)</f>
        <v>1.0880041931249997</v>
      </c>
      <c r="H395" s="720" t="s">
        <v>26</v>
      </c>
      <c r="I395" s="721"/>
      <c r="J395" s="721"/>
      <c r="K395" s="721"/>
      <c r="L395" s="722"/>
      <c r="M395" s="40">
        <f>SUM(M394)</f>
        <v>2.9605556275510199</v>
      </c>
      <c r="O395" s="720" t="s">
        <v>26</v>
      </c>
      <c r="P395" s="721"/>
      <c r="Q395" s="721"/>
      <c r="R395" s="721"/>
      <c r="S395" s="722"/>
      <c r="T395" s="40">
        <f>SUM(T394)</f>
        <v>2.9605556275510199</v>
      </c>
      <c r="IQ395"/>
      <c r="IR395"/>
      <c r="IS395"/>
      <c r="IT395"/>
      <c r="IU395"/>
      <c r="IV395"/>
    </row>
    <row r="396" spans="1:256" ht="15" customHeight="1" thickBot="1">
      <c r="A396" s="720" t="s">
        <v>26</v>
      </c>
      <c r="B396" s="721"/>
      <c r="C396" s="721"/>
      <c r="D396" s="721"/>
      <c r="E396" s="722"/>
      <c r="F396" s="40">
        <f>SUM(F395)</f>
        <v>1.0880041931249997</v>
      </c>
      <c r="H396" s="723" t="s">
        <v>27</v>
      </c>
      <c r="I396" s="724"/>
      <c r="J396" s="724"/>
      <c r="K396" s="724"/>
      <c r="L396" s="724"/>
      <c r="M396" s="725"/>
      <c r="O396" s="723" t="s">
        <v>27</v>
      </c>
      <c r="P396" s="724"/>
      <c r="Q396" s="724"/>
      <c r="R396" s="724"/>
      <c r="S396" s="724"/>
      <c r="T396" s="725"/>
      <c r="IQ396"/>
      <c r="IR396"/>
      <c r="IS396"/>
      <c r="IT396"/>
      <c r="IU396"/>
      <c r="IV396"/>
    </row>
    <row r="397" spans="1:256" ht="15" customHeight="1" thickBot="1">
      <c r="A397" s="723" t="s">
        <v>27</v>
      </c>
      <c r="B397" s="724"/>
      <c r="C397" s="724"/>
      <c r="D397" s="724"/>
      <c r="E397" s="724"/>
      <c r="F397" s="725"/>
      <c r="H397" s="389" t="s">
        <v>1</v>
      </c>
      <c r="I397" s="390" t="s">
        <v>2</v>
      </c>
      <c r="J397" s="389" t="s">
        <v>3</v>
      </c>
      <c r="K397" s="389" t="s">
        <v>9</v>
      </c>
      <c r="L397" s="389" t="s">
        <v>10</v>
      </c>
      <c r="M397" s="389" t="s">
        <v>11</v>
      </c>
      <c r="O397" s="389" t="s">
        <v>1</v>
      </c>
      <c r="P397" s="390" t="s">
        <v>2</v>
      </c>
      <c r="Q397" s="389" t="s">
        <v>3</v>
      </c>
      <c r="R397" s="389" t="s">
        <v>9</v>
      </c>
      <c r="S397" s="389" t="s">
        <v>10</v>
      </c>
      <c r="T397" s="389" t="s">
        <v>11</v>
      </c>
      <c r="IQ397"/>
      <c r="IR397"/>
      <c r="IS397"/>
      <c r="IT397"/>
      <c r="IU397"/>
      <c r="IV397"/>
    </row>
    <row r="398" spans="1:256" ht="15" customHeight="1" thickBot="1">
      <c r="A398" s="8" t="s">
        <v>1</v>
      </c>
      <c r="B398" s="5" t="s">
        <v>2</v>
      </c>
      <c r="C398" s="8" t="s">
        <v>3</v>
      </c>
      <c r="D398" s="8" t="s">
        <v>9</v>
      </c>
      <c r="E398" s="8" t="s">
        <v>10</v>
      </c>
      <c r="F398" s="8" t="s">
        <v>11</v>
      </c>
      <c r="H398" s="403" t="s">
        <v>28</v>
      </c>
      <c r="I398" s="402" t="s">
        <v>29</v>
      </c>
      <c r="J398" s="403" t="s">
        <v>25</v>
      </c>
      <c r="K398" s="391">
        <v>0.02</v>
      </c>
      <c r="L398" s="393">
        <f>M389</f>
        <v>98.685187585034001</v>
      </c>
      <c r="M398" s="393">
        <f>K398*L398</f>
        <v>1.9737037517006801</v>
      </c>
      <c r="O398" s="403" t="s">
        <v>28</v>
      </c>
      <c r="P398" s="402" t="s">
        <v>29</v>
      </c>
      <c r="Q398" s="403" t="s">
        <v>25</v>
      </c>
      <c r="R398" s="391">
        <v>0.02</v>
      </c>
      <c r="S398" s="393">
        <f>T389</f>
        <v>98.685187585034001</v>
      </c>
      <c r="T398" s="393">
        <f>R398*S398</f>
        <v>1.9737037517006801</v>
      </c>
      <c r="IQ398"/>
      <c r="IR398"/>
      <c r="IS398"/>
      <c r="IT398"/>
      <c r="IU398"/>
      <c r="IV398"/>
    </row>
    <row r="399" spans="1:256" ht="15" customHeight="1" thickBot="1">
      <c r="A399" s="9" t="s">
        <v>28</v>
      </c>
      <c r="B399" s="10" t="s">
        <v>29</v>
      </c>
      <c r="C399" s="9" t="s">
        <v>25</v>
      </c>
      <c r="D399" s="11">
        <v>0.02</v>
      </c>
      <c r="E399" s="13">
        <f>F389</f>
        <v>36.266806437499994</v>
      </c>
      <c r="F399" s="13">
        <f>(D399*E399)</f>
        <v>0.72533612874999986</v>
      </c>
      <c r="H399" s="410" t="s">
        <v>32</v>
      </c>
      <c r="I399" s="411" t="s">
        <v>33</v>
      </c>
      <c r="J399" s="451" t="s">
        <v>888</v>
      </c>
      <c r="K399" s="412">
        <f>1/3</f>
        <v>0.33333333333333331</v>
      </c>
      <c r="L399" s="399">
        <f>'ANÁLISIS DE COSTO HORARIO'!C95</f>
        <v>78.062650003496501</v>
      </c>
      <c r="M399" s="399">
        <f>K399*L399</f>
        <v>26.020883334498834</v>
      </c>
      <c r="O399" s="410" t="s">
        <v>32</v>
      </c>
      <c r="P399" s="411" t="s">
        <v>33</v>
      </c>
      <c r="Q399" s="451" t="s">
        <v>888</v>
      </c>
      <c r="R399" s="412">
        <f>1/3</f>
        <v>0.33333333333333331</v>
      </c>
      <c r="S399" s="399">
        <f>'ANÁLISIS DE COSTO HORARIO'!C95</f>
        <v>78.062650003496501</v>
      </c>
      <c r="T399" s="399">
        <f>R399*S399</f>
        <v>26.020883334498834</v>
      </c>
      <c r="IQ399"/>
      <c r="IR399"/>
      <c r="IS399"/>
      <c r="IT399"/>
      <c r="IU399"/>
      <c r="IV399"/>
    </row>
    <row r="400" spans="1:256" ht="15" customHeight="1" thickBot="1">
      <c r="A400" s="21"/>
      <c r="B400" s="22"/>
      <c r="C400" s="21"/>
      <c r="D400" s="21"/>
      <c r="E400" s="20"/>
      <c r="F400" s="20"/>
      <c r="H400" s="726" t="s">
        <v>34</v>
      </c>
      <c r="I400" s="727"/>
      <c r="J400" s="727"/>
      <c r="K400" s="727"/>
      <c r="L400" s="728"/>
      <c r="M400" s="41">
        <f>SUM(M398:M399)</f>
        <v>27.994587086199513</v>
      </c>
      <c r="O400" s="726" t="s">
        <v>34</v>
      </c>
      <c r="P400" s="727"/>
      <c r="Q400" s="727"/>
      <c r="R400" s="727"/>
      <c r="S400" s="728"/>
      <c r="T400" s="41">
        <f>SUM(T398:T399)</f>
        <v>27.994587086199513</v>
      </c>
      <c r="IQ400"/>
      <c r="IR400"/>
      <c r="IS400"/>
      <c r="IT400"/>
      <c r="IU400"/>
      <c r="IV400"/>
    </row>
    <row r="401" spans="1:256" ht="15" customHeight="1" thickBot="1">
      <c r="A401" s="23"/>
      <c r="B401" s="24"/>
      <c r="C401" s="23"/>
      <c r="D401" s="23"/>
      <c r="E401" s="25"/>
      <c r="F401" s="25"/>
      <c r="H401" s="729" t="s">
        <v>35</v>
      </c>
      <c r="I401" s="730"/>
      <c r="J401" s="730"/>
      <c r="K401" s="730"/>
      <c r="L401" s="730"/>
      <c r="M401" s="731"/>
      <c r="O401" s="729" t="s">
        <v>35</v>
      </c>
      <c r="P401" s="730"/>
      <c r="Q401" s="730"/>
      <c r="R401" s="730"/>
      <c r="S401" s="730"/>
      <c r="T401" s="731"/>
      <c r="IQ401"/>
      <c r="IR401"/>
      <c r="IS401"/>
      <c r="IT401"/>
      <c r="IU401"/>
      <c r="IV401"/>
    </row>
    <row r="402" spans="1:256" ht="15" customHeight="1" thickBot="1">
      <c r="A402" s="726" t="s">
        <v>34</v>
      </c>
      <c r="B402" s="727"/>
      <c r="C402" s="727"/>
      <c r="D402" s="727"/>
      <c r="E402" s="728"/>
      <c r="F402" s="41">
        <f>SUM(F399:F401)</f>
        <v>0.72533612874999986</v>
      </c>
      <c r="H402" s="389" t="s">
        <v>1</v>
      </c>
      <c r="I402" s="390" t="s">
        <v>2</v>
      </c>
      <c r="J402" s="389" t="s">
        <v>3</v>
      </c>
      <c r="K402" s="389" t="s">
        <v>9</v>
      </c>
      <c r="L402" s="389" t="s">
        <v>10</v>
      </c>
      <c r="M402" s="389" t="s">
        <v>11</v>
      </c>
      <c r="O402" s="389" t="s">
        <v>1</v>
      </c>
      <c r="P402" s="390" t="s">
        <v>2</v>
      </c>
      <c r="Q402" s="389" t="s">
        <v>3</v>
      </c>
      <c r="R402" s="389" t="s">
        <v>9</v>
      </c>
      <c r="S402" s="389" t="s">
        <v>10</v>
      </c>
      <c r="T402" s="389" t="s">
        <v>11</v>
      </c>
      <c r="IQ402"/>
      <c r="IR402"/>
      <c r="IS402"/>
      <c r="IT402"/>
      <c r="IU402"/>
      <c r="IV402"/>
    </row>
    <row r="403" spans="1:256" ht="15" customHeight="1" thickBot="1">
      <c r="A403" s="729" t="s">
        <v>35</v>
      </c>
      <c r="B403" s="730"/>
      <c r="C403" s="730"/>
      <c r="D403" s="730"/>
      <c r="E403" s="730"/>
      <c r="F403" s="731"/>
      <c r="H403" s="512" t="s">
        <v>184</v>
      </c>
      <c r="I403" s="513" t="s">
        <v>1121</v>
      </c>
      <c r="J403" s="403" t="s">
        <v>17</v>
      </c>
      <c r="K403" s="413">
        <f>(0.15*0.2*1)*(1.05)</f>
        <v>3.15E-2</v>
      </c>
      <c r="L403" s="414">
        <f>AUXILIARES!CL85</f>
        <v>2361.2216030320201</v>
      </c>
      <c r="M403" s="393">
        <f>K403*L403</f>
        <v>74.37848049550864</v>
      </c>
      <c r="O403" s="512" t="s">
        <v>184</v>
      </c>
      <c r="P403" s="513" t="s">
        <v>1121</v>
      </c>
      <c r="Q403" s="403" t="s">
        <v>17</v>
      </c>
      <c r="R403" s="413">
        <f>(0.15*0.2*1)*(1.05)</f>
        <v>3.15E-2</v>
      </c>
      <c r="S403" s="414">
        <f>AUXILIARES!CL85</f>
        <v>2361.2216030320201</v>
      </c>
      <c r="T403" s="393">
        <f>R403*S403</f>
        <v>74.37848049550864</v>
      </c>
      <c r="IQ403"/>
      <c r="IR403"/>
      <c r="IS403"/>
      <c r="IT403"/>
      <c r="IU403"/>
      <c r="IV403"/>
    </row>
    <row r="404" spans="1:256" ht="15" customHeight="1" thickBot="1">
      <c r="A404" s="8" t="s">
        <v>1</v>
      </c>
      <c r="B404" s="5" t="s">
        <v>2</v>
      </c>
      <c r="C404" s="8" t="s">
        <v>3</v>
      </c>
      <c r="D404" s="8" t="s">
        <v>9</v>
      </c>
      <c r="E404" s="8" t="s">
        <v>10</v>
      </c>
      <c r="F404" s="8" t="s">
        <v>11</v>
      </c>
      <c r="H404" s="517" t="s">
        <v>198</v>
      </c>
      <c r="I404" s="514" t="s">
        <v>1122</v>
      </c>
      <c r="J404" s="415" t="s">
        <v>39</v>
      </c>
      <c r="K404" s="415">
        <f>((1+0.15+0.15)*6)*0.57*1.03</f>
        <v>4.5793799999999987</v>
      </c>
      <c r="L404" s="417">
        <f>AUXILIARES!F94</f>
        <v>28.427000875454546</v>
      </c>
      <c r="M404" s="396">
        <f>K404*L404</f>
        <v>130.178039269039</v>
      </c>
      <c r="O404" s="517" t="s">
        <v>337</v>
      </c>
      <c r="P404" s="514" t="s">
        <v>849</v>
      </c>
      <c r="Q404" s="415" t="s">
        <v>39</v>
      </c>
      <c r="R404" s="415">
        <f>((1+0.15+0.15)*4)*1*1.03</f>
        <v>5.355999999999999</v>
      </c>
      <c r="S404" s="417">
        <f>AUXILIARES!M94</f>
        <v>20.615358962999998</v>
      </c>
      <c r="T404" s="396">
        <f>R404*S404</f>
        <v>110.41586260582797</v>
      </c>
      <c r="IQ404"/>
      <c r="IR404"/>
      <c r="IS404"/>
      <c r="IT404"/>
      <c r="IU404"/>
      <c r="IV404"/>
    </row>
    <row r="405" spans="1:256" ht="15" customHeight="1">
      <c r="A405" s="9" t="s">
        <v>160</v>
      </c>
      <c r="B405" s="10" t="s">
        <v>37</v>
      </c>
      <c r="C405" s="9" t="s">
        <v>17</v>
      </c>
      <c r="D405" s="11">
        <f>(1*1*0.05)*1.05</f>
        <v>5.2500000000000005E-2</v>
      </c>
      <c r="E405" s="12">
        <f>AUXILIARES!F85</f>
        <v>1816.1866030320202</v>
      </c>
      <c r="F405" s="13">
        <f>D405*E405</f>
        <v>95.349796659181067</v>
      </c>
      <c r="H405" s="518" t="s">
        <v>337</v>
      </c>
      <c r="I405" s="515" t="s">
        <v>1123</v>
      </c>
      <c r="J405" s="418" t="s">
        <v>39</v>
      </c>
      <c r="K405" s="420">
        <f>((0.15+0.2+0.15+0.2+0.1+0.1)*6)*0.25*1.03</f>
        <v>1.3904999999999998</v>
      </c>
      <c r="L405" s="421">
        <f>AUXILIARES!T94</f>
        <v>28.427000875454546</v>
      </c>
      <c r="M405" s="422">
        <f>K405*L405</f>
        <v>39.527744717319543</v>
      </c>
      <c r="O405" s="518" t="s">
        <v>337</v>
      </c>
      <c r="P405" s="515" t="s">
        <v>1263</v>
      </c>
      <c r="Q405" s="418" t="s">
        <v>39</v>
      </c>
      <c r="R405" s="420">
        <f>((0.15+0.2+0.15+0.2+0.1+0.1)*7)*1*1.03</f>
        <v>6.488999999999999</v>
      </c>
      <c r="S405" s="421">
        <f>AUXILIARES!M94</f>
        <v>20.615358962999998</v>
      </c>
      <c r="T405" s="422">
        <f>R405*S405</f>
        <v>133.77306431090696</v>
      </c>
      <c r="IQ405"/>
      <c r="IR405"/>
      <c r="IS405"/>
      <c r="IT405"/>
      <c r="IU405"/>
      <c r="IV405"/>
    </row>
    <row r="406" spans="1:256" ht="15" customHeight="1" thickBot="1">
      <c r="A406" s="42"/>
      <c r="B406" s="43"/>
      <c r="C406" s="42"/>
      <c r="D406" s="42"/>
      <c r="E406" s="44"/>
      <c r="F406" s="20"/>
      <c r="H406" s="451" t="s">
        <v>1125</v>
      </c>
      <c r="I406" s="516" t="s">
        <v>1260</v>
      </c>
      <c r="J406" s="410" t="s">
        <v>42</v>
      </c>
      <c r="K406" s="397">
        <f>((1*0.2)*2)+(1*0.15)</f>
        <v>0.55000000000000004</v>
      </c>
      <c r="L406" s="424">
        <f>AUXILIARES!X124</f>
        <v>500.52846058374013</v>
      </c>
      <c r="M406" s="399">
        <f>K406*L406</f>
        <v>275.29065332105711</v>
      </c>
      <c r="O406" s="451" t="s">
        <v>1125</v>
      </c>
      <c r="P406" s="516" t="s">
        <v>1260</v>
      </c>
      <c r="Q406" s="410" t="s">
        <v>42</v>
      </c>
      <c r="R406" s="397">
        <f>((1*0.2)*2)+(1*0.15)</f>
        <v>0.55000000000000004</v>
      </c>
      <c r="S406" s="424">
        <f>AUXILIARES!X124</f>
        <v>500.52846058374013</v>
      </c>
      <c r="T406" s="399">
        <f>R406*S406</f>
        <v>275.29065332105711</v>
      </c>
      <c r="IQ406"/>
      <c r="IR406"/>
      <c r="IS406"/>
      <c r="IT406"/>
      <c r="IU406"/>
      <c r="IV406"/>
    </row>
    <row r="407" spans="1:256" ht="15" customHeight="1" thickBot="1">
      <c r="A407" s="732" t="s">
        <v>43</v>
      </c>
      <c r="B407" s="733"/>
      <c r="C407" s="733"/>
      <c r="D407" s="733"/>
      <c r="E407" s="734"/>
      <c r="F407" s="49">
        <f>SUM(F405:F406)</f>
        <v>95.349796659181067</v>
      </c>
      <c r="H407" s="732" t="s">
        <v>43</v>
      </c>
      <c r="I407" s="746"/>
      <c r="J407" s="746"/>
      <c r="K407" s="746"/>
      <c r="L407" s="747"/>
      <c r="M407" s="49">
        <f>SUM(M403:M406)</f>
        <v>519.3749178029243</v>
      </c>
      <c r="O407" s="732" t="s">
        <v>43</v>
      </c>
      <c r="P407" s="746"/>
      <c r="Q407" s="746"/>
      <c r="R407" s="746"/>
      <c r="S407" s="747"/>
      <c r="T407" s="49">
        <f>SUM(T403:T406)</f>
        <v>593.8580607333007</v>
      </c>
      <c r="IQ407"/>
      <c r="IR407"/>
      <c r="IS407"/>
      <c r="IT407"/>
      <c r="IU407"/>
      <c r="IV407"/>
    </row>
    <row r="408" spans="1:256" ht="15" customHeight="1" thickBot="1">
      <c r="A408" s="50"/>
      <c r="B408" s="51"/>
      <c r="C408" s="52"/>
      <c r="D408" s="52"/>
      <c r="E408" s="52"/>
      <c r="F408" s="52"/>
      <c r="H408" s="425"/>
      <c r="I408" s="426"/>
      <c r="J408" s="427"/>
      <c r="K408" s="427"/>
      <c r="L408" s="427"/>
      <c r="M408" s="427"/>
      <c r="O408" s="425"/>
      <c r="P408" s="426"/>
      <c r="Q408" s="427"/>
      <c r="R408" s="427"/>
      <c r="S408" s="427"/>
      <c r="T408" s="427"/>
      <c r="IQ408"/>
      <c r="IR408"/>
      <c r="IS408"/>
      <c r="IT408"/>
      <c r="IU408"/>
      <c r="IV408"/>
    </row>
    <row r="409" spans="1:256" ht="15" customHeight="1" thickBot="1">
      <c r="A409" s="735" t="s">
        <v>44</v>
      </c>
      <c r="B409" s="736"/>
      <c r="C409" s="736"/>
      <c r="D409" s="736"/>
      <c r="E409" s="737"/>
      <c r="F409" s="54">
        <f>SUM(F407,F386,F392,F396,F402)</f>
        <v>133.42994341855604</v>
      </c>
      <c r="H409" s="765" t="s">
        <v>44</v>
      </c>
      <c r="I409" s="766"/>
      <c r="J409" s="766"/>
      <c r="K409" s="766"/>
      <c r="L409" s="767"/>
      <c r="M409" s="400">
        <f>SUM(M407,M386,M391,M395,M400)</f>
        <v>649.01524810170883</v>
      </c>
      <c r="O409" s="765" t="s">
        <v>44</v>
      </c>
      <c r="P409" s="766"/>
      <c r="Q409" s="766"/>
      <c r="R409" s="766"/>
      <c r="S409" s="767"/>
      <c r="T409" s="400">
        <f>SUM(T407,T386,T391,T395,T400)</f>
        <v>723.49839103208524</v>
      </c>
      <c r="IQ409"/>
      <c r="IR409"/>
      <c r="IS409"/>
      <c r="IT409"/>
      <c r="IU409"/>
      <c r="IV409"/>
    </row>
    <row r="410" spans="1:256" ht="15" customHeight="1" thickBot="1">
      <c r="A410" s="735" t="s">
        <v>45</v>
      </c>
      <c r="B410" s="736"/>
      <c r="C410" s="736"/>
      <c r="D410" s="736"/>
      <c r="E410" s="737"/>
      <c r="F410" s="54"/>
      <c r="H410" s="765" t="s">
        <v>45</v>
      </c>
      <c r="I410" s="768"/>
      <c r="J410" s="768"/>
      <c r="K410" s="768"/>
      <c r="L410" s="428"/>
      <c r="M410" s="400"/>
      <c r="O410" s="765" t="s">
        <v>45</v>
      </c>
      <c r="P410" s="768"/>
      <c r="Q410" s="768"/>
      <c r="R410" s="768"/>
      <c r="S410" s="428"/>
      <c r="T410" s="400"/>
      <c r="IQ410"/>
      <c r="IR410"/>
      <c r="IS410"/>
      <c r="IT410"/>
      <c r="IU410"/>
      <c r="IV410"/>
    </row>
    <row r="411" spans="1:256" ht="15" customHeight="1" thickBot="1">
      <c r="A411" s="735" t="s">
        <v>46</v>
      </c>
      <c r="B411" s="736"/>
      <c r="C411" s="736"/>
      <c r="D411" s="736"/>
      <c r="E411" s="737"/>
      <c r="F411" s="54"/>
      <c r="H411" s="765" t="s">
        <v>46</v>
      </c>
      <c r="I411" s="768"/>
      <c r="J411" s="768"/>
      <c r="K411" s="768"/>
      <c r="L411" s="769"/>
      <c r="M411" s="400"/>
      <c r="O411" s="765" t="s">
        <v>46</v>
      </c>
      <c r="P411" s="768"/>
      <c r="Q411" s="768"/>
      <c r="R411" s="768"/>
      <c r="S411" s="769"/>
      <c r="T411" s="400"/>
      <c r="IQ411"/>
      <c r="IR411"/>
      <c r="IS411"/>
      <c r="IT411"/>
      <c r="IU411"/>
      <c r="IV411"/>
    </row>
    <row r="412" spans="1:256" ht="15" customHeight="1" thickBot="1">
      <c r="A412" s="735" t="s">
        <v>47</v>
      </c>
      <c r="B412" s="736"/>
      <c r="C412" s="736"/>
      <c r="D412" s="736"/>
      <c r="E412" s="737"/>
      <c r="F412" s="54"/>
      <c r="H412" s="765" t="s">
        <v>47</v>
      </c>
      <c r="I412" s="768"/>
      <c r="J412" s="768"/>
      <c r="K412" s="768"/>
      <c r="L412" s="429"/>
      <c r="M412" s="400"/>
      <c r="O412" s="765" t="s">
        <v>47</v>
      </c>
      <c r="P412" s="768"/>
      <c r="Q412" s="768"/>
      <c r="R412" s="768"/>
      <c r="S412" s="429"/>
      <c r="T412" s="400"/>
      <c r="IQ412"/>
      <c r="IR412"/>
      <c r="IS412"/>
      <c r="IT412"/>
      <c r="IU412"/>
      <c r="IV412"/>
    </row>
    <row r="413" spans="1:256" ht="15" customHeight="1" thickBot="1">
      <c r="A413" s="735" t="s">
        <v>46</v>
      </c>
      <c r="B413" s="736"/>
      <c r="C413" s="736"/>
      <c r="D413" s="736"/>
      <c r="E413" s="737"/>
      <c r="F413" s="54"/>
      <c r="H413" s="765" t="s">
        <v>46</v>
      </c>
      <c r="I413" s="768"/>
      <c r="J413" s="768"/>
      <c r="K413" s="768"/>
      <c r="L413" s="769"/>
      <c r="M413" s="400"/>
      <c r="O413" s="765" t="s">
        <v>46</v>
      </c>
      <c r="P413" s="768"/>
      <c r="Q413" s="768"/>
      <c r="R413" s="768"/>
      <c r="S413" s="769"/>
      <c r="T413" s="400"/>
      <c r="IQ413"/>
      <c r="IR413"/>
      <c r="IS413"/>
      <c r="IT413"/>
      <c r="IU413"/>
      <c r="IV413"/>
    </row>
    <row r="414" spans="1:256" ht="15" customHeight="1" thickBot="1">
      <c r="A414" s="735" t="s">
        <v>48</v>
      </c>
      <c r="B414" s="736"/>
      <c r="C414" s="736"/>
      <c r="D414" s="736"/>
      <c r="E414" s="737"/>
      <c r="F414" s="54"/>
      <c r="H414" s="765" t="s">
        <v>48</v>
      </c>
      <c r="I414" s="768"/>
      <c r="J414" s="768"/>
      <c r="K414" s="768"/>
      <c r="L414" s="428"/>
      <c r="M414" s="400"/>
      <c r="O414" s="765" t="s">
        <v>48</v>
      </c>
      <c r="P414" s="768"/>
      <c r="Q414" s="768"/>
      <c r="R414" s="768"/>
      <c r="S414" s="428"/>
      <c r="T414" s="400"/>
      <c r="IQ414"/>
      <c r="IR414"/>
      <c r="IS414"/>
      <c r="IT414"/>
      <c r="IU414"/>
      <c r="IV414"/>
    </row>
    <row r="415" spans="1:256" ht="15" customHeight="1" thickBot="1">
      <c r="A415" s="735" t="s">
        <v>46</v>
      </c>
      <c r="B415" s="736"/>
      <c r="C415" s="736"/>
      <c r="D415" s="736"/>
      <c r="E415" s="737"/>
      <c r="F415" s="54"/>
      <c r="H415" s="765" t="s">
        <v>46</v>
      </c>
      <c r="I415" s="768"/>
      <c r="J415" s="768"/>
      <c r="K415" s="768"/>
      <c r="L415" s="769"/>
      <c r="M415" s="400"/>
      <c r="O415" s="765" t="s">
        <v>46</v>
      </c>
      <c r="P415" s="768"/>
      <c r="Q415" s="768"/>
      <c r="R415" s="768"/>
      <c r="S415" s="769"/>
      <c r="T415" s="400"/>
      <c r="IQ415"/>
      <c r="IR415"/>
      <c r="IS415"/>
      <c r="IT415"/>
      <c r="IU415"/>
      <c r="IV415"/>
    </row>
    <row r="416" spans="1:256" ht="15" customHeight="1" thickBot="1">
      <c r="A416" s="735" t="s">
        <v>49</v>
      </c>
      <c r="B416" s="736"/>
      <c r="C416" s="736"/>
      <c r="D416" s="736"/>
      <c r="E416" s="737"/>
      <c r="F416" s="54"/>
      <c r="H416" s="765" t="s">
        <v>49</v>
      </c>
      <c r="I416" s="768"/>
      <c r="J416" s="768"/>
      <c r="K416" s="768"/>
      <c r="L416" s="429"/>
      <c r="M416" s="400"/>
      <c r="O416" s="765" t="s">
        <v>49</v>
      </c>
      <c r="P416" s="768"/>
      <c r="Q416" s="768"/>
      <c r="R416" s="768"/>
      <c r="S416" s="429"/>
      <c r="T416" s="400"/>
      <c r="IQ416"/>
      <c r="IR416"/>
      <c r="IS416"/>
      <c r="IT416"/>
      <c r="IU416"/>
      <c r="IV416"/>
    </row>
    <row r="417" spans="1:256" ht="15" customHeight="1" thickBot="1">
      <c r="A417" s="738" t="s">
        <v>50</v>
      </c>
      <c r="B417" s="739"/>
      <c r="C417" s="739"/>
      <c r="D417" s="739"/>
      <c r="E417" s="740"/>
      <c r="F417" s="57"/>
      <c r="H417" s="755" t="s">
        <v>50</v>
      </c>
      <c r="I417" s="756"/>
      <c r="J417" s="756"/>
      <c r="K417" s="756"/>
      <c r="L417" s="757"/>
      <c r="M417" s="430"/>
      <c r="O417" s="755" t="s">
        <v>50</v>
      </c>
      <c r="P417" s="756"/>
      <c r="Q417" s="756"/>
      <c r="R417" s="756"/>
      <c r="S417" s="757"/>
      <c r="T417" s="430"/>
      <c r="IQ417"/>
      <c r="IR417"/>
      <c r="IS417"/>
      <c r="IT417"/>
      <c r="IU417"/>
      <c r="IV417"/>
    </row>
    <row r="418" spans="1:256" ht="15" customHeight="1" thickBot="1">
      <c r="A418" s="693" t="s">
        <v>1419</v>
      </c>
      <c r="B418" s="694"/>
      <c r="C418" s="694"/>
      <c r="D418" s="694"/>
      <c r="E418" s="694"/>
      <c r="F418" s="695"/>
      <c r="H418" s="758" t="s">
        <v>1420</v>
      </c>
      <c r="I418" s="759"/>
      <c r="J418" s="759"/>
      <c r="K418" s="759"/>
      <c r="L418" s="759"/>
      <c r="M418" s="760"/>
      <c r="O418" s="758" t="s">
        <v>1421</v>
      </c>
      <c r="P418" s="759"/>
      <c r="Q418" s="759"/>
      <c r="R418" s="759"/>
      <c r="S418" s="759"/>
      <c r="T418" s="760"/>
      <c r="IQ418"/>
      <c r="IR418"/>
      <c r="IS418"/>
      <c r="IT418"/>
      <c r="IU418"/>
      <c r="IV418"/>
    </row>
    <row r="419" spans="1:256" ht="15" customHeight="1" thickBot="1">
      <c r="IQ419"/>
      <c r="IR419"/>
      <c r="IS419"/>
      <c r="IT419"/>
      <c r="IU419"/>
      <c r="IV419"/>
    </row>
    <row r="420" spans="1:256" ht="26.4" thickBot="1">
      <c r="A420" s="696" t="s">
        <v>0</v>
      </c>
      <c r="B420" s="697"/>
      <c r="C420" s="697"/>
      <c r="D420" s="697"/>
      <c r="E420" s="697"/>
      <c r="F420" s="698"/>
      <c r="H420" s="696" t="s">
        <v>0</v>
      </c>
      <c r="I420" s="697"/>
      <c r="J420" s="697"/>
      <c r="K420" s="697"/>
      <c r="L420" s="697"/>
      <c r="M420" s="698"/>
      <c r="O420" s="696" t="s">
        <v>0</v>
      </c>
      <c r="P420" s="697"/>
      <c r="Q420" s="697"/>
      <c r="R420" s="697"/>
      <c r="S420" s="697"/>
      <c r="T420" s="698"/>
      <c r="V420" s="696" t="s">
        <v>0</v>
      </c>
      <c r="W420" s="697"/>
      <c r="X420" s="697"/>
      <c r="Y420" s="697"/>
      <c r="Z420" s="697"/>
      <c r="AA420" s="698"/>
      <c r="AC420" s="752" t="s">
        <v>0</v>
      </c>
      <c r="AD420" s="753"/>
      <c r="AE420" s="753"/>
      <c r="AF420" s="753"/>
      <c r="AG420" s="753"/>
      <c r="AH420" s="754"/>
      <c r="AJ420" s="752" t="s">
        <v>0</v>
      </c>
      <c r="AK420" s="753"/>
      <c r="AL420" s="753"/>
      <c r="AM420" s="753"/>
      <c r="AN420" s="753"/>
      <c r="AO420" s="754"/>
      <c r="AQ420" s="752" t="s">
        <v>0</v>
      </c>
      <c r="AR420" s="753"/>
      <c r="AS420" s="753"/>
      <c r="AT420" s="753"/>
      <c r="AU420" s="753"/>
      <c r="AV420" s="754"/>
      <c r="AX420" s="752" t="s">
        <v>0</v>
      </c>
      <c r="AY420" s="753"/>
      <c r="AZ420" s="753"/>
      <c r="BA420" s="753"/>
      <c r="BB420" s="753"/>
      <c r="BC420" s="754"/>
      <c r="BE420" s="752" t="s">
        <v>0</v>
      </c>
      <c r="BF420" s="753"/>
      <c r="BG420" s="753"/>
      <c r="BH420" s="753"/>
      <c r="BI420" s="753"/>
      <c r="BJ420" s="754"/>
      <c r="BL420" s="752" t="s">
        <v>0</v>
      </c>
      <c r="BM420" s="753"/>
      <c r="BN420" s="753"/>
      <c r="BO420" s="753"/>
      <c r="BP420" s="753"/>
      <c r="BQ420" s="754"/>
      <c r="BS420" s="752" t="s">
        <v>0</v>
      </c>
      <c r="BT420" s="753"/>
      <c r="BU420" s="753"/>
      <c r="BV420" s="753"/>
      <c r="BW420" s="753"/>
      <c r="BX420" s="754"/>
      <c r="BZ420" s="696" t="s">
        <v>0</v>
      </c>
      <c r="CA420" s="697"/>
      <c r="CB420" s="697"/>
      <c r="CC420" s="697"/>
      <c r="CD420" s="697"/>
      <c r="CE420" s="698"/>
    </row>
    <row r="421" spans="1:256" ht="15" customHeight="1" thickBot="1">
      <c r="A421" s="4" t="s">
        <v>1</v>
      </c>
      <c r="B421" s="699" t="s">
        <v>2</v>
      </c>
      <c r="C421" s="700"/>
      <c r="D421" s="700"/>
      <c r="E421" s="701"/>
      <c r="F421" s="3" t="s">
        <v>3</v>
      </c>
      <c r="H421" s="3" t="s">
        <v>1</v>
      </c>
      <c r="I421" s="693" t="s">
        <v>2</v>
      </c>
      <c r="J421" s="694"/>
      <c r="K421" s="694"/>
      <c r="L421" s="695"/>
      <c r="M421" s="3" t="s">
        <v>3</v>
      </c>
      <c r="O421" s="4" t="s">
        <v>1</v>
      </c>
      <c r="P421" s="699" t="s">
        <v>2</v>
      </c>
      <c r="Q421" s="700"/>
      <c r="R421" s="700"/>
      <c r="S421" s="701"/>
      <c r="T421" s="3" t="s">
        <v>3</v>
      </c>
      <c r="V421" s="4" t="s">
        <v>1</v>
      </c>
      <c r="W421" s="699" t="s">
        <v>2</v>
      </c>
      <c r="X421" s="700"/>
      <c r="Y421" s="700"/>
      <c r="Z421" s="701"/>
      <c r="AA421" s="3" t="s">
        <v>3</v>
      </c>
      <c r="AC421" s="387" t="s">
        <v>1</v>
      </c>
      <c r="AD421" s="758" t="s">
        <v>2</v>
      </c>
      <c r="AE421" s="759"/>
      <c r="AF421" s="759"/>
      <c r="AG421" s="760"/>
      <c r="AH421" s="387" t="s">
        <v>3</v>
      </c>
      <c r="AJ421" s="387" t="s">
        <v>1</v>
      </c>
      <c r="AK421" s="758" t="s">
        <v>2</v>
      </c>
      <c r="AL421" s="759"/>
      <c r="AM421" s="759"/>
      <c r="AN421" s="760"/>
      <c r="AO421" s="387" t="s">
        <v>3</v>
      </c>
      <c r="AQ421" s="387" t="s">
        <v>1</v>
      </c>
      <c r="AR421" s="758" t="s">
        <v>2</v>
      </c>
      <c r="AS421" s="759"/>
      <c r="AT421" s="759"/>
      <c r="AU421" s="760"/>
      <c r="AV421" s="387" t="s">
        <v>3</v>
      </c>
      <c r="AX421" s="387" t="s">
        <v>1</v>
      </c>
      <c r="AY421" s="758" t="s">
        <v>2</v>
      </c>
      <c r="AZ421" s="759"/>
      <c r="BA421" s="759"/>
      <c r="BB421" s="760"/>
      <c r="BC421" s="387" t="s">
        <v>3</v>
      </c>
      <c r="BE421" s="387" t="s">
        <v>1</v>
      </c>
      <c r="BF421" s="758" t="s">
        <v>2</v>
      </c>
      <c r="BG421" s="759"/>
      <c r="BH421" s="759"/>
      <c r="BI421" s="760"/>
      <c r="BJ421" s="387" t="s">
        <v>3</v>
      </c>
      <c r="BL421" s="387" t="s">
        <v>1</v>
      </c>
      <c r="BM421" s="758" t="s">
        <v>2</v>
      </c>
      <c r="BN421" s="759"/>
      <c r="BO421" s="759"/>
      <c r="BP421" s="760"/>
      <c r="BQ421" s="387" t="s">
        <v>3</v>
      </c>
      <c r="BS421" s="3" t="s">
        <v>1</v>
      </c>
      <c r="BT421" s="693" t="s">
        <v>2</v>
      </c>
      <c r="BU421" s="694"/>
      <c r="BV421" s="694"/>
      <c r="BW421" s="695"/>
      <c r="BX421" s="3" t="s">
        <v>3</v>
      </c>
      <c r="BZ421" s="4" t="s">
        <v>1</v>
      </c>
      <c r="CA421" s="699" t="s">
        <v>2</v>
      </c>
      <c r="CB421" s="700"/>
      <c r="CC421" s="700"/>
      <c r="CD421" s="701"/>
      <c r="CE421" s="3" t="s">
        <v>3</v>
      </c>
    </row>
    <row r="422" spans="1:256" ht="91.5" customHeight="1" thickBot="1">
      <c r="A422" s="497" t="s">
        <v>4</v>
      </c>
      <c r="B422" s="702" t="s">
        <v>1130</v>
      </c>
      <c r="C422" s="703"/>
      <c r="D422" s="703"/>
      <c r="E422" s="704"/>
      <c r="F422" s="5" t="s">
        <v>6</v>
      </c>
      <c r="H422" s="5" t="s">
        <v>7</v>
      </c>
      <c r="I422" s="743" t="s">
        <v>5</v>
      </c>
      <c r="J422" s="744"/>
      <c r="K422" s="744"/>
      <c r="L422" s="745"/>
      <c r="M422" s="5" t="s">
        <v>6</v>
      </c>
      <c r="O422" s="525" t="s">
        <v>881</v>
      </c>
      <c r="P422" s="702" t="s">
        <v>1134</v>
      </c>
      <c r="Q422" s="703"/>
      <c r="R422" s="703"/>
      <c r="S422" s="704"/>
      <c r="T422" s="5" t="s">
        <v>6</v>
      </c>
      <c r="V422" s="525" t="s">
        <v>886</v>
      </c>
      <c r="W422" s="702" t="s">
        <v>1136</v>
      </c>
      <c r="X422" s="703"/>
      <c r="Y422" s="703"/>
      <c r="Z422" s="704"/>
      <c r="AA422" s="5" t="s">
        <v>6</v>
      </c>
      <c r="AC422" s="388" t="s">
        <v>1233</v>
      </c>
      <c r="AD422" s="761" t="s">
        <v>1264</v>
      </c>
      <c r="AE422" s="762"/>
      <c r="AF422" s="762"/>
      <c r="AG422" s="763"/>
      <c r="AH422" s="388" t="s">
        <v>833</v>
      </c>
      <c r="AJ422" s="388" t="s">
        <v>964</v>
      </c>
      <c r="AK422" s="761" t="s">
        <v>1266</v>
      </c>
      <c r="AL422" s="762"/>
      <c r="AM422" s="762"/>
      <c r="AN422" s="763"/>
      <c r="AO422" s="388" t="s">
        <v>833</v>
      </c>
      <c r="AQ422" s="388" t="s">
        <v>965</v>
      </c>
      <c r="AR422" s="761" t="s">
        <v>1234</v>
      </c>
      <c r="AS422" s="762"/>
      <c r="AT422" s="762"/>
      <c r="AU422" s="763"/>
      <c r="AV422" s="388" t="s">
        <v>833</v>
      </c>
      <c r="AX422" s="388" t="s">
        <v>966</v>
      </c>
      <c r="AY422" s="761" t="s">
        <v>1235</v>
      </c>
      <c r="AZ422" s="762"/>
      <c r="BA422" s="762"/>
      <c r="BB422" s="763"/>
      <c r="BC422" s="388" t="s">
        <v>833</v>
      </c>
      <c r="BE422" s="388" t="s">
        <v>967</v>
      </c>
      <c r="BF422" s="761" t="s">
        <v>1236</v>
      </c>
      <c r="BG422" s="762"/>
      <c r="BH422" s="762"/>
      <c r="BI422" s="763"/>
      <c r="BJ422" s="388" t="s">
        <v>833</v>
      </c>
      <c r="BL422" s="388" t="s">
        <v>968</v>
      </c>
      <c r="BM422" s="761" t="s">
        <v>958</v>
      </c>
      <c r="BN422" s="762"/>
      <c r="BO422" s="762"/>
      <c r="BP422" s="763"/>
      <c r="BQ422" s="388" t="s">
        <v>833</v>
      </c>
      <c r="BS422" s="5" t="s">
        <v>1312</v>
      </c>
      <c r="BT422" s="743" t="s">
        <v>1336</v>
      </c>
      <c r="BU422" s="744"/>
      <c r="BV422" s="744"/>
      <c r="BW422" s="745"/>
      <c r="BX422" s="5" t="s">
        <v>6</v>
      </c>
      <c r="BZ422" s="595" t="s">
        <v>1313</v>
      </c>
      <c r="CA422" s="702" t="s">
        <v>961</v>
      </c>
      <c r="CB422" s="703"/>
      <c r="CC422" s="703"/>
      <c r="CD422" s="704"/>
      <c r="CE422" s="5" t="s">
        <v>6</v>
      </c>
    </row>
    <row r="423" spans="1:256" ht="15" customHeight="1" thickBot="1">
      <c r="A423" s="705" t="s">
        <v>8</v>
      </c>
      <c r="B423" s="706"/>
      <c r="C423" s="706"/>
      <c r="D423" s="706"/>
      <c r="E423" s="706"/>
      <c r="F423" s="707"/>
      <c r="H423" s="705" t="s">
        <v>8</v>
      </c>
      <c r="I423" s="706"/>
      <c r="J423" s="706"/>
      <c r="K423" s="706"/>
      <c r="L423" s="706"/>
      <c r="M423" s="707"/>
      <c r="O423" s="705" t="s">
        <v>8</v>
      </c>
      <c r="P423" s="706"/>
      <c r="Q423" s="706"/>
      <c r="R423" s="706"/>
      <c r="S423" s="706"/>
      <c r="T423" s="707"/>
      <c r="V423" s="705" t="s">
        <v>8</v>
      </c>
      <c r="W423" s="706"/>
      <c r="X423" s="706"/>
      <c r="Y423" s="706"/>
      <c r="Z423" s="706"/>
      <c r="AA423" s="707"/>
      <c r="AC423" s="705" t="s">
        <v>8</v>
      </c>
      <c r="AD423" s="706"/>
      <c r="AE423" s="706"/>
      <c r="AF423" s="706"/>
      <c r="AG423" s="706"/>
      <c r="AH423" s="707"/>
      <c r="AJ423" s="705" t="s">
        <v>8</v>
      </c>
      <c r="AK423" s="706"/>
      <c r="AL423" s="706"/>
      <c r="AM423" s="706"/>
      <c r="AN423" s="706"/>
      <c r="AO423" s="707"/>
      <c r="AQ423" s="705" t="s">
        <v>8</v>
      </c>
      <c r="AR423" s="706"/>
      <c r="AS423" s="706"/>
      <c r="AT423" s="706"/>
      <c r="AU423" s="706"/>
      <c r="AV423" s="707"/>
      <c r="AX423" s="705" t="s">
        <v>8</v>
      </c>
      <c r="AY423" s="706"/>
      <c r="AZ423" s="706"/>
      <c r="BA423" s="706"/>
      <c r="BB423" s="706"/>
      <c r="BC423" s="707"/>
      <c r="BE423" s="705" t="s">
        <v>8</v>
      </c>
      <c r="BF423" s="706"/>
      <c r="BG423" s="706"/>
      <c r="BH423" s="706"/>
      <c r="BI423" s="706"/>
      <c r="BJ423" s="707"/>
      <c r="BL423" s="705" t="s">
        <v>8</v>
      </c>
      <c r="BM423" s="706"/>
      <c r="BN423" s="706"/>
      <c r="BO423" s="706"/>
      <c r="BP423" s="706"/>
      <c r="BQ423" s="707"/>
      <c r="BS423" s="705" t="s">
        <v>8</v>
      </c>
      <c r="BT423" s="706"/>
      <c r="BU423" s="706"/>
      <c r="BV423" s="706"/>
      <c r="BW423" s="706"/>
      <c r="BX423" s="707"/>
      <c r="BZ423" s="705" t="s">
        <v>8</v>
      </c>
      <c r="CA423" s="706"/>
      <c r="CB423" s="706"/>
      <c r="CC423" s="706"/>
      <c r="CD423" s="706"/>
      <c r="CE423" s="707"/>
    </row>
    <row r="424" spans="1:256" ht="15" customHeight="1" thickBot="1">
      <c r="A424" s="8" t="s">
        <v>1</v>
      </c>
      <c r="B424" s="5" t="s">
        <v>2</v>
      </c>
      <c r="C424" s="8" t="s">
        <v>3</v>
      </c>
      <c r="D424" s="8" t="s">
        <v>9</v>
      </c>
      <c r="E424" s="8" t="s">
        <v>10</v>
      </c>
      <c r="F424" s="8" t="s">
        <v>11</v>
      </c>
      <c r="H424" s="8" t="s">
        <v>1</v>
      </c>
      <c r="I424" s="5" t="s">
        <v>2</v>
      </c>
      <c r="J424" s="8" t="s">
        <v>3</v>
      </c>
      <c r="K424" s="8" t="s">
        <v>9</v>
      </c>
      <c r="L424" s="8" t="s">
        <v>10</v>
      </c>
      <c r="M424" s="8" t="s">
        <v>11</v>
      </c>
      <c r="O424" s="8" t="s">
        <v>1</v>
      </c>
      <c r="P424" s="5" t="s">
        <v>2</v>
      </c>
      <c r="Q424" s="8" t="s">
        <v>3</v>
      </c>
      <c r="R424" s="8" t="s">
        <v>9</v>
      </c>
      <c r="S424" s="8" t="s">
        <v>10</v>
      </c>
      <c r="T424" s="8" t="s">
        <v>11</v>
      </c>
      <c r="V424" s="8" t="s">
        <v>1</v>
      </c>
      <c r="W424" s="5" t="s">
        <v>2</v>
      </c>
      <c r="X424" s="8" t="s">
        <v>3</v>
      </c>
      <c r="Y424" s="8" t="s">
        <v>9</v>
      </c>
      <c r="Z424" s="8" t="s">
        <v>10</v>
      </c>
      <c r="AA424" s="8" t="s">
        <v>11</v>
      </c>
      <c r="AC424" s="389" t="s">
        <v>1</v>
      </c>
      <c r="AD424" s="390" t="s">
        <v>2</v>
      </c>
      <c r="AE424" s="389" t="s">
        <v>3</v>
      </c>
      <c r="AF424" s="389" t="s">
        <v>9</v>
      </c>
      <c r="AG424" s="389" t="s">
        <v>10</v>
      </c>
      <c r="AH424" s="389" t="s">
        <v>11</v>
      </c>
      <c r="AJ424" s="389" t="s">
        <v>1</v>
      </c>
      <c r="AK424" s="390" t="s">
        <v>2</v>
      </c>
      <c r="AL424" s="389" t="s">
        <v>3</v>
      </c>
      <c r="AM424" s="389" t="s">
        <v>9</v>
      </c>
      <c r="AN424" s="389" t="s">
        <v>10</v>
      </c>
      <c r="AO424" s="389" t="s">
        <v>11</v>
      </c>
      <c r="AQ424" s="389" t="s">
        <v>1</v>
      </c>
      <c r="AR424" s="390" t="s">
        <v>2</v>
      </c>
      <c r="AS424" s="389" t="s">
        <v>3</v>
      </c>
      <c r="AT424" s="389" t="s">
        <v>9</v>
      </c>
      <c r="AU424" s="389" t="s">
        <v>10</v>
      </c>
      <c r="AV424" s="389" t="s">
        <v>11</v>
      </c>
      <c r="AX424" s="389" t="s">
        <v>1</v>
      </c>
      <c r="AY424" s="390" t="s">
        <v>2</v>
      </c>
      <c r="AZ424" s="389" t="s">
        <v>3</v>
      </c>
      <c r="BA424" s="389" t="s">
        <v>9</v>
      </c>
      <c r="BB424" s="389" t="s">
        <v>10</v>
      </c>
      <c r="BC424" s="389" t="s">
        <v>11</v>
      </c>
      <c r="BE424" s="389" t="s">
        <v>1</v>
      </c>
      <c r="BF424" s="390" t="s">
        <v>2</v>
      </c>
      <c r="BG424" s="389" t="s">
        <v>3</v>
      </c>
      <c r="BH424" s="389" t="s">
        <v>9</v>
      </c>
      <c r="BI424" s="389" t="s">
        <v>10</v>
      </c>
      <c r="BJ424" s="389" t="s">
        <v>11</v>
      </c>
      <c r="BL424" s="389" t="s">
        <v>1</v>
      </c>
      <c r="BM424" s="390" t="s">
        <v>2</v>
      </c>
      <c r="BN424" s="389" t="s">
        <v>3</v>
      </c>
      <c r="BO424" s="389" t="s">
        <v>9</v>
      </c>
      <c r="BP424" s="389" t="s">
        <v>10</v>
      </c>
      <c r="BQ424" s="389" t="s">
        <v>11</v>
      </c>
      <c r="BS424" s="8" t="s">
        <v>1</v>
      </c>
      <c r="BT424" s="5" t="s">
        <v>2</v>
      </c>
      <c r="BU424" s="8" t="s">
        <v>3</v>
      </c>
      <c r="BV424" s="8" t="s">
        <v>9</v>
      </c>
      <c r="BW424" s="8" t="s">
        <v>10</v>
      </c>
      <c r="BX424" s="8" t="s">
        <v>11</v>
      </c>
      <c r="BZ424" s="8" t="s">
        <v>1</v>
      </c>
      <c r="CA424" s="5" t="s">
        <v>2</v>
      </c>
      <c r="CB424" s="8" t="s">
        <v>3</v>
      </c>
      <c r="CC424" s="8" t="s">
        <v>9</v>
      </c>
      <c r="CD424" s="8" t="s">
        <v>10</v>
      </c>
      <c r="CE424" s="8" t="s">
        <v>11</v>
      </c>
    </row>
    <row r="425" spans="1:256" ht="15" customHeight="1">
      <c r="A425" s="14"/>
      <c r="B425" s="15"/>
      <c r="C425" s="14"/>
      <c r="D425" s="14"/>
      <c r="E425" s="13"/>
      <c r="F425" s="13"/>
      <c r="H425" s="463" t="s">
        <v>373</v>
      </c>
      <c r="I425" s="10" t="s">
        <v>13</v>
      </c>
      <c r="J425" s="9" t="s">
        <v>14</v>
      </c>
      <c r="K425" s="11">
        <f>OPERACIONES!F17</f>
        <v>5.6000000000000001E-2</v>
      </c>
      <c r="L425" s="12">
        <f>MATERIALES!E34</f>
        <v>2600</v>
      </c>
      <c r="M425" s="13">
        <f>(K425*L425)</f>
        <v>145.6</v>
      </c>
      <c r="O425" s="14" t="s">
        <v>1088</v>
      </c>
      <c r="P425" s="15" t="s">
        <v>900</v>
      </c>
      <c r="Q425" s="14" t="s">
        <v>64</v>
      </c>
      <c r="R425" s="14">
        <v>6</v>
      </c>
      <c r="S425" s="13">
        <f>MATERIALES!E205</f>
        <v>17.239999999999998</v>
      </c>
      <c r="T425" s="13">
        <f>R425*S425</f>
        <v>103.44</v>
      </c>
      <c r="V425" s="14"/>
      <c r="W425" s="15"/>
      <c r="X425" s="14"/>
      <c r="Y425" s="14"/>
      <c r="Z425" s="13"/>
      <c r="AA425" s="13"/>
      <c r="AC425" s="391"/>
      <c r="AD425" s="392"/>
      <c r="AE425" s="391"/>
      <c r="AF425" s="391"/>
      <c r="AG425" s="393"/>
      <c r="AH425" s="393"/>
      <c r="AJ425" s="391"/>
      <c r="AK425" s="392"/>
      <c r="AL425" s="391"/>
      <c r="AM425" s="391"/>
      <c r="AN425" s="393"/>
      <c r="AO425" s="393"/>
      <c r="AQ425" s="391"/>
      <c r="AR425" s="392"/>
      <c r="AS425" s="391"/>
      <c r="AT425" s="391"/>
      <c r="AU425" s="393"/>
      <c r="AV425" s="393"/>
      <c r="AX425" s="391"/>
      <c r="AY425" s="392"/>
      <c r="AZ425" s="391"/>
      <c r="BA425" s="391"/>
      <c r="BB425" s="393"/>
      <c r="BC425" s="393"/>
      <c r="BE425" s="391"/>
      <c r="BF425" s="392"/>
      <c r="BG425" s="391"/>
      <c r="BH425" s="391"/>
      <c r="BI425" s="393"/>
      <c r="BJ425" s="393"/>
      <c r="BL425" s="391" t="s">
        <v>370</v>
      </c>
      <c r="BM425" s="392" t="s">
        <v>1314</v>
      </c>
      <c r="BN425" s="391" t="s">
        <v>17</v>
      </c>
      <c r="BO425" s="391">
        <f>(1*1*0.1)*1.05</f>
        <v>0.10500000000000001</v>
      </c>
      <c r="BP425" s="393">
        <f>MATERIALES!E33</f>
        <v>103.45</v>
      </c>
      <c r="BQ425" s="393">
        <f>BO425*BP425</f>
        <v>10.862250000000001</v>
      </c>
      <c r="BS425" s="463" t="s">
        <v>373</v>
      </c>
      <c r="BT425" s="10" t="s">
        <v>13</v>
      </c>
      <c r="BU425" s="9" t="s">
        <v>14</v>
      </c>
      <c r="BV425" s="11">
        <f>OPERACIONES!F17</f>
        <v>5.6000000000000001E-2</v>
      </c>
      <c r="BW425" s="12">
        <f>MATERIALES!BP34</f>
        <v>0</v>
      </c>
      <c r="BX425" s="13">
        <f>(BV425*BW425)</f>
        <v>0</v>
      </c>
      <c r="BZ425" s="14"/>
      <c r="CA425" s="15"/>
      <c r="CB425" s="14"/>
      <c r="CC425" s="14"/>
      <c r="CD425" s="13"/>
      <c r="CE425" s="13"/>
    </row>
    <row r="426" spans="1:256" ht="15" customHeight="1">
      <c r="A426" s="21"/>
      <c r="B426" s="22"/>
      <c r="C426" s="21"/>
      <c r="D426" s="21"/>
      <c r="E426" s="20"/>
      <c r="F426" s="20"/>
      <c r="H426" s="466" t="s">
        <v>15</v>
      </c>
      <c r="I426" s="17" t="s">
        <v>16</v>
      </c>
      <c r="J426" s="16" t="s">
        <v>17</v>
      </c>
      <c r="K426" s="18">
        <f>(20*1.05)/1000</f>
        <v>2.1000000000000001E-2</v>
      </c>
      <c r="L426" s="19">
        <f>MATERIALES!E15</f>
        <v>10</v>
      </c>
      <c r="M426" s="20">
        <f>(K426*L426)</f>
        <v>0.21000000000000002</v>
      </c>
      <c r="O426" s="21" t="s">
        <v>353</v>
      </c>
      <c r="P426" s="22" t="s">
        <v>901</v>
      </c>
      <c r="Q426" s="21" t="s">
        <v>833</v>
      </c>
      <c r="R426" s="496">
        <f>OPERACIONES!D21</f>
        <v>1.6428571428571428</v>
      </c>
      <c r="S426" s="20">
        <f>MATERIALES!E26</f>
        <v>77.59</v>
      </c>
      <c r="T426" s="20">
        <f>R426*S426</f>
        <v>127.46928571428572</v>
      </c>
      <c r="V426" s="21"/>
      <c r="W426" s="22"/>
      <c r="X426" s="21"/>
      <c r="Y426" s="21"/>
      <c r="Z426" s="20"/>
      <c r="AA426" s="20"/>
      <c r="AC426" s="394"/>
      <c r="AD426" s="395"/>
      <c r="AE426" s="394"/>
      <c r="AF426" s="394"/>
      <c r="AG426" s="396"/>
      <c r="AH426" s="396"/>
      <c r="AJ426" s="394"/>
      <c r="AK426" s="395"/>
      <c r="AL426" s="394"/>
      <c r="AM426" s="394"/>
      <c r="AN426" s="396"/>
      <c r="AO426" s="396"/>
      <c r="AQ426" s="394"/>
      <c r="AR426" s="395"/>
      <c r="AS426" s="394"/>
      <c r="AT426" s="394"/>
      <c r="AU426" s="396"/>
      <c r="AV426" s="396"/>
      <c r="AX426" s="394"/>
      <c r="AY426" s="395"/>
      <c r="AZ426" s="394"/>
      <c r="BA426" s="394"/>
      <c r="BB426" s="396"/>
      <c r="BC426" s="396"/>
      <c r="BE426" s="394"/>
      <c r="BF426" s="395"/>
      <c r="BG426" s="394"/>
      <c r="BH426" s="394"/>
      <c r="BI426" s="396"/>
      <c r="BJ426" s="396"/>
      <c r="BL426" s="394"/>
      <c r="BM426" s="395"/>
      <c r="BN426" s="394"/>
      <c r="BO426" s="394"/>
      <c r="BP426" s="396"/>
      <c r="BQ426" s="396"/>
      <c r="BS426" s="466" t="s">
        <v>15</v>
      </c>
      <c r="BT426" s="17" t="s">
        <v>16</v>
      </c>
      <c r="BU426" s="16" t="s">
        <v>17</v>
      </c>
      <c r="BV426" s="18">
        <f>(20*1.05)/1000</f>
        <v>2.1000000000000001E-2</v>
      </c>
      <c r="BW426" s="19">
        <f>MATERIALES!BP15</f>
        <v>0</v>
      </c>
      <c r="BX426" s="20">
        <f>(BV426*BW426)</f>
        <v>0</v>
      </c>
      <c r="BZ426" s="21"/>
      <c r="CA426" s="22"/>
      <c r="CB426" s="21"/>
      <c r="CC426" s="21"/>
      <c r="CD426" s="20"/>
      <c r="CE426" s="20"/>
    </row>
    <row r="427" spans="1:256" ht="15" customHeight="1">
      <c r="A427" s="21"/>
      <c r="B427" s="22"/>
      <c r="C427" s="21"/>
      <c r="D427" s="21"/>
      <c r="E427" s="20"/>
      <c r="F427" s="20"/>
      <c r="H427" s="21"/>
      <c r="I427" s="22"/>
      <c r="J427" s="21"/>
      <c r="K427" s="21"/>
      <c r="L427" s="20"/>
      <c r="M427" s="20"/>
      <c r="O427" s="21"/>
      <c r="P427" s="22"/>
      <c r="Q427" s="21"/>
      <c r="R427" s="21"/>
      <c r="S427" s="20"/>
      <c r="T427" s="20"/>
      <c r="V427" s="21"/>
      <c r="W427" s="22"/>
      <c r="X427" s="21"/>
      <c r="Y427" s="21"/>
      <c r="Z427" s="20"/>
      <c r="AA427" s="20"/>
      <c r="AC427" s="394"/>
      <c r="AD427" s="395"/>
      <c r="AE427" s="394"/>
      <c r="AF427" s="394"/>
      <c r="AG427" s="396"/>
      <c r="AH427" s="396"/>
      <c r="AJ427" s="394"/>
      <c r="AK427" s="395"/>
      <c r="AL427" s="394"/>
      <c r="AM427" s="394"/>
      <c r="AN427" s="396"/>
      <c r="AO427" s="396"/>
      <c r="AQ427" s="394"/>
      <c r="AR427" s="395"/>
      <c r="AS427" s="394"/>
      <c r="AT427" s="394"/>
      <c r="AU427" s="396"/>
      <c r="AV427" s="396"/>
      <c r="AX427" s="394"/>
      <c r="AY427" s="395"/>
      <c r="AZ427" s="394"/>
      <c r="BA427" s="394"/>
      <c r="BB427" s="396"/>
      <c r="BC427" s="396"/>
      <c r="BE427" s="394"/>
      <c r="BF427" s="395"/>
      <c r="BG427" s="394"/>
      <c r="BH427" s="394"/>
      <c r="BI427" s="396"/>
      <c r="BJ427" s="396"/>
      <c r="BL427" s="394"/>
      <c r="BM427" s="395"/>
      <c r="BN427" s="394"/>
      <c r="BO427" s="394"/>
      <c r="BP427" s="396"/>
      <c r="BQ427" s="396"/>
      <c r="BS427" s="21"/>
      <c r="BT427" s="22"/>
      <c r="BU427" s="21"/>
      <c r="BV427" s="21"/>
      <c r="BW427" s="20"/>
      <c r="BX427" s="20"/>
      <c r="BZ427" s="21"/>
      <c r="CA427" s="22"/>
      <c r="CB427" s="21"/>
      <c r="CC427" s="21"/>
      <c r="CD427" s="20"/>
      <c r="CE427" s="20"/>
    </row>
    <row r="428" spans="1:256" ht="15" customHeight="1">
      <c r="A428" s="21"/>
      <c r="B428" s="22"/>
      <c r="C428" s="21"/>
      <c r="D428" s="21"/>
      <c r="E428" s="20"/>
      <c r="F428" s="20"/>
      <c r="H428" s="21"/>
      <c r="I428" s="22"/>
      <c r="J428" s="21"/>
      <c r="K428" s="21"/>
      <c r="L428" s="20"/>
      <c r="M428" s="20"/>
      <c r="O428" s="21"/>
      <c r="P428" s="22"/>
      <c r="Q428" s="21"/>
      <c r="R428" s="21"/>
      <c r="S428" s="20"/>
      <c r="T428" s="20"/>
      <c r="V428" s="21"/>
      <c r="W428" s="22"/>
      <c r="X428" s="21"/>
      <c r="Y428" s="21"/>
      <c r="Z428" s="20"/>
      <c r="AA428" s="20"/>
      <c r="AC428" s="394"/>
      <c r="AD428" s="395"/>
      <c r="AE428" s="394"/>
      <c r="AF428" s="394"/>
      <c r="AG428" s="396"/>
      <c r="AH428" s="396"/>
      <c r="AJ428" s="394"/>
      <c r="AK428" s="395"/>
      <c r="AL428" s="394"/>
      <c r="AM428" s="394"/>
      <c r="AN428" s="396"/>
      <c r="AO428" s="396"/>
      <c r="AQ428" s="394"/>
      <c r="AR428" s="395"/>
      <c r="AS428" s="394"/>
      <c r="AT428" s="394"/>
      <c r="AU428" s="396"/>
      <c r="AV428" s="396"/>
      <c r="AX428" s="394"/>
      <c r="AY428" s="395"/>
      <c r="AZ428" s="394"/>
      <c r="BA428" s="394"/>
      <c r="BB428" s="396"/>
      <c r="BC428" s="396"/>
      <c r="BE428" s="394"/>
      <c r="BF428" s="395"/>
      <c r="BG428" s="394"/>
      <c r="BH428" s="394"/>
      <c r="BI428" s="396"/>
      <c r="BJ428" s="396"/>
      <c r="BL428" s="394"/>
      <c r="BM428" s="395"/>
      <c r="BN428" s="394"/>
      <c r="BO428" s="394"/>
      <c r="BP428" s="396"/>
      <c r="BQ428" s="396"/>
      <c r="BS428" s="21"/>
      <c r="BT428" s="22"/>
      <c r="BU428" s="21"/>
      <c r="BV428" s="21"/>
      <c r="BW428" s="20"/>
      <c r="BX428" s="20"/>
      <c r="BZ428" s="21"/>
      <c r="CA428" s="22"/>
      <c r="CB428" s="21"/>
      <c r="CC428" s="21"/>
      <c r="CD428" s="20"/>
      <c r="CE428" s="20"/>
    </row>
    <row r="429" spans="1:256" ht="15" customHeight="1">
      <c r="A429" s="21"/>
      <c r="B429" s="22"/>
      <c r="C429" s="21"/>
      <c r="D429" s="21"/>
      <c r="E429" s="20"/>
      <c r="F429" s="20"/>
      <c r="H429" s="21"/>
      <c r="I429" s="22"/>
      <c r="J429" s="21"/>
      <c r="K429" s="21"/>
      <c r="L429" s="20"/>
      <c r="M429" s="20"/>
      <c r="O429" s="21"/>
      <c r="P429" s="22"/>
      <c r="Q429" s="21"/>
      <c r="R429" s="21"/>
      <c r="S429" s="20"/>
      <c r="T429" s="20"/>
      <c r="V429" s="21"/>
      <c r="W429" s="22"/>
      <c r="X429" s="21"/>
      <c r="Y429" s="21"/>
      <c r="Z429" s="20"/>
      <c r="AA429" s="20"/>
      <c r="AC429" s="394"/>
      <c r="AD429" s="395"/>
      <c r="AE429" s="394"/>
      <c r="AF429" s="394"/>
      <c r="AG429" s="396"/>
      <c r="AH429" s="396"/>
      <c r="AJ429" s="394"/>
      <c r="AK429" s="395"/>
      <c r="AL429" s="394"/>
      <c r="AM429" s="394"/>
      <c r="AN429" s="396"/>
      <c r="AO429" s="396"/>
      <c r="AQ429" s="394"/>
      <c r="AR429" s="395"/>
      <c r="AS429" s="394"/>
      <c r="AT429" s="394"/>
      <c r="AU429" s="396"/>
      <c r="AV429" s="396"/>
      <c r="AX429" s="394"/>
      <c r="AY429" s="395"/>
      <c r="AZ429" s="394"/>
      <c r="BA429" s="394"/>
      <c r="BB429" s="396"/>
      <c r="BC429" s="396"/>
      <c r="BE429" s="394"/>
      <c r="BF429" s="395"/>
      <c r="BG429" s="394"/>
      <c r="BH429" s="394"/>
      <c r="BI429" s="396"/>
      <c r="BJ429" s="396"/>
      <c r="BL429" s="394"/>
      <c r="BM429" s="395"/>
      <c r="BN429" s="394"/>
      <c r="BO429" s="394"/>
      <c r="BP429" s="396"/>
      <c r="BQ429" s="396"/>
      <c r="BS429" s="21"/>
      <c r="BT429" s="22"/>
      <c r="BU429" s="21"/>
      <c r="BV429" s="21"/>
      <c r="BW429" s="20"/>
      <c r="BX429" s="20"/>
      <c r="BZ429" s="21"/>
      <c r="CA429" s="22"/>
      <c r="CB429" s="21"/>
      <c r="CC429" s="21"/>
      <c r="CD429" s="20"/>
      <c r="CE429" s="20"/>
    </row>
    <row r="430" spans="1:256" ht="15" customHeight="1">
      <c r="A430" s="21"/>
      <c r="B430" s="22"/>
      <c r="C430" s="21"/>
      <c r="D430" s="21"/>
      <c r="E430" s="20"/>
      <c r="F430" s="20"/>
      <c r="H430" s="21"/>
      <c r="I430" s="22"/>
      <c r="J430" s="21"/>
      <c r="K430" s="21"/>
      <c r="L430" s="20"/>
      <c r="M430" s="20"/>
      <c r="O430" s="21"/>
      <c r="P430" s="22"/>
      <c r="Q430" s="21"/>
      <c r="R430" s="21"/>
      <c r="S430" s="20"/>
      <c r="T430" s="20"/>
      <c r="V430" s="21"/>
      <c r="W430" s="22"/>
      <c r="X430" s="21"/>
      <c r="Y430" s="21"/>
      <c r="Z430" s="20"/>
      <c r="AA430" s="20"/>
      <c r="AC430" s="394"/>
      <c r="AD430" s="395"/>
      <c r="AE430" s="394"/>
      <c r="AF430" s="394"/>
      <c r="AG430" s="396"/>
      <c r="AH430" s="396"/>
      <c r="AJ430" s="394"/>
      <c r="AK430" s="395"/>
      <c r="AL430" s="394"/>
      <c r="AM430" s="394"/>
      <c r="AN430" s="396"/>
      <c r="AO430" s="396"/>
      <c r="AQ430" s="394"/>
      <c r="AR430" s="395"/>
      <c r="AS430" s="394"/>
      <c r="AT430" s="394"/>
      <c r="AU430" s="396"/>
      <c r="AV430" s="396"/>
      <c r="AX430" s="394"/>
      <c r="AY430" s="395"/>
      <c r="AZ430" s="394"/>
      <c r="BA430" s="394"/>
      <c r="BB430" s="396"/>
      <c r="BC430" s="396"/>
      <c r="BE430" s="394"/>
      <c r="BF430" s="395"/>
      <c r="BG430" s="394"/>
      <c r="BH430" s="394"/>
      <c r="BI430" s="396"/>
      <c r="BJ430" s="396"/>
      <c r="BL430" s="394"/>
      <c r="BM430" s="395"/>
      <c r="BN430" s="394"/>
      <c r="BO430" s="394"/>
      <c r="BP430" s="396"/>
      <c r="BQ430" s="396"/>
      <c r="BS430" s="21"/>
      <c r="BT430" s="22"/>
      <c r="BU430" s="21"/>
      <c r="BV430" s="21"/>
      <c r="BW430" s="20"/>
      <c r="BX430" s="20"/>
      <c r="BZ430" s="21"/>
      <c r="CA430" s="22"/>
      <c r="CB430" s="21"/>
      <c r="CC430" s="21"/>
      <c r="CD430" s="20"/>
      <c r="CE430" s="20"/>
    </row>
    <row r="431" spans="1:256" ht="15" customHeight="1" thickBot="1">
      <c r="A431" s="23"/>
      <c r="B431" s="24"/>
      <c r="C431" s="23"/>
      <c r="D431" s="23"/>
      <c r="E431" s="25"/>
      <c r="F431" s="25"/>
      <c r="H431" s="23"/>
      <c r="I431" s="24"/>
      <c r="J431" s="23"/>
      <c r="K431" s="23"/>
      <c r="L431" s="25"/>
      <c r="M431" s="25"/>
      <c r="O431" s="23"/>
      <c r="P431" s="24"/>
      <c r="Q431" s="23"/>
      <c r="R431" s="23"/>
      <c r="S431" s="25"/>
      <c r="T431" s="25"/>
      <c r="V431" s="23"/>
      <c r="W431" s="24"/>
      <c r="X431" s="23"/>
      <c r="Y431" s="23"/>
      <c r="Z431" s="25"/>
      <c r="AA431" s="25"/>
      <c r="AC431" s="397"/>
      <c r="AD431" s="398"/>
      <c r="AE431" s="397"/>
      <c r="AF431" s="397"/>
      <c r="AG431" s="399"/>
      <c r="AH431" s="399"/>
      <c r="AJ431" s="397"/>
      <c r="AK431" s="398"/>
      <c r="AL431" s="397"/>
      <c r="AM431" s="397"/>
      <c r="AN431" s="399"/>
      <c r="AO431" s="399"/>
      <c r="AQ431" s="397"/>
      <c r="AR431" s="398"/>
      <c r="AS431" s="397"/>
      <c r="AT431" s="397"/>
      <c r="AU431" s="399"/>
      <c r="AV431" s="399"/>
      <c r="AX431" s="397"/>
      <c r="AY431" s="398"/>
      <c r="AZ431" s="397"/>
      <c r="BA431" s="397"/>
      <c r="BB431" s="399"/>
      <c r="BC431" s="399"/>
      <c r="BE431" s="397"/>
      <c r="BF431" s="398"/>
      <c r="BG431" s="397"/>
      <c r="BH431" s="397"/>
      <c r="BI431" s="399"/>
      <c r="BJ431" s="399"/>
      <c r="BL431" s="397"/>
      <c r="BM431" s="398"/>
      <c r="BN431" s="397"/>
      <c r="BO431" s="397"/>
      <c r="BP431" s="399"/>
      <c r="BQ431" s="399"/>
      <c r="BS431" s="23"/>
      <c r="BT431" s="24"/>
      <c r="BU431" s="23"/>
      <c r="BV431" s="23"/>
      <c r="BW431" s="25"/>
      <c r="BX431" s="25"/>
      <c r="BZ431" s="23"/>
      <c r="CA431" s="24"/>
      <c r="CB431" s="23"/>
      <c r="CC431" s="23"/>
      <c r="CD431" s="25"/>
      <c r="CE431" s="25"/>
    </row>
    <row r="432" spans="1:256" ht="15" customHeight="1" thickBot="1">
      <c r="A432" s="708" t="s">
        <v>18</v>
      </c>
      <c r="B432" s="709"/>
      <c r="C432" s="709"/>
      <c r="D432" s="709"/>
      <c r="E432" s="710"/>
      <c r="F432" s="26">
        <f>SUM(F425:F431)</f>
        <v>0</v>
      </c>
      <c r="H432" s="708" t="s">
        <v>18</v>
      </c>
      <c r="I432" s="709"/>
      <c r="J432" s="709"/>
      <c r="K432" s="709"/>
      <c r="L432" s="710"/>
      <c r="M432" s="26">
        <f>SUM(M425:M431)</f>
        <v>145.81</v>
      </c>
      <c r="O432" s="708" t="s">
        <v>18</v>
      </c>
      <c r="P432" s="709"/>
      <c r="Q432" s="709"/>
      <c r="R432" s="709"/>
      <c r="S432" s="710"/>
      <c r="T432" s="26">
        <f>SUM(T425:T431)</f>
        <v>230.90928571428572</v>
      </c>
      <c r="V432" s="708" t="s">
        <v>18</v>
      </c>
      <c r="W432" s="709"/>
      <c r="X432" s="709"/>
      <c r="Y432" s="709"/>
      <c r="Z432" s="710"/>
      <c r="AA432" s="26">
        <f>SUM(AA425:AA431)</f>
        <v>0</v>
      </c>
      <c r="AC432" s="708" t="s">
        <v>18</v>
      </c>
      <c r="AD432" s="709"/>
      <c r="AE432" s="709"/>
      <c r="AF432" s="709"/>
      <c r="AG432" s="710"/>
      <c r="AH432" s="26">
        <f>SUM(AH425:AH431)</f>
        <v>0</v>
      </c>
      <c r="AJ432" s="708" t="s">
        <v>18</v>
      </c>
      <c r="AK432" s="709"/>
      <c r="AL432" s="709"/>
      <c r="AM432" s="709"/>
      <c r="AN432" s="710"/>
      <c r="AO432" s="26">
        <f>SUM(AO425:AO431)</f>
        <v>0</v>
      </c>
      <c r="AQ432" s="708" t="s">
        <v>18</v>
      </c>
      <c r="AR432" s="709"/>
      <c r="AS432" s="709"/>
      <c r="AT432" s="709"/>
      <c r="AU432" s="710"/>
      <c r="AV432" s="26">
        <f>SUM(AV425:AV431)</f>
        <v>0</v>
      </c>
      <c r="AX432" s="708" t="s">
        <v>18</v>
      </c>
      <c r="AY432" s="709"/>
      <c r="AZ432" s="709"/>
      <c r="BA432" s="709"/>
      <c r="BB432" s="710"/>
      <c r="BC432" s="26">
        <f>SUM(BC425:BC431)</f>
        <v>0</v>
      </c>
      <c r="BE432" s="708" t="s">
        <v>18</v>
      </c>
      <c r="BF432" s="709"/>
      <c r="BG432" s="709"/>
      <c r="BH432" s="709"/>
      <c r="BI432" s="710"/>
      <c r="BJ432" s="26">
        <f>SUM(BJ425:BJ431)</f>
        <v>0</v>
      </c>
      <c r="BL432" s="708" t="s">
        <v>18</v>
      </c>
      <c r="BM432" s="709"/>
      <c r="BN432" s="709"/>
      <c r="BO432" s="709"/>
      <c r="BP432" s="710"/>
      <c r="BQ432" s="26">
        <f>SUM(BQ425:BQ431)</f>
        <v>10.862250000000001</v>
      </c>
      <c r="BS432" s="708" t="s">
        <v>18</v>
      </c>
      <c r="BT432" s="709"/>
      <c r="BU432" s="709"/>
      <c r="BV432" s="709"/>
      <c r="BW432" s="710"/>
      <c r="BX432" s="26">
        <f>SUM(BX425:BX431)</f>
        <v>0</v>
      </c>
      <c r="BZ432" s="708" t="s">
        <v>18</v>
      </c>
      <c r="CA432" s="709"/>
      <c r="CB432" s="709"/>
      <c r="CC432" s="709"/>
      <c r="CD432" s="710"/>
      <c r="CE432" s="26">
        <f>SUM(CE425:CE431)</f>
        <v>0</v>
      </c>
    </row>
    <row r="433" spans="1:83" ht="15" customHeight="1" thickBot="1">
      <c r="A433" s="711" t="s">
        <v>19</v>
      </c>
      <c r="B433" s="712"/>
      <c r="C433" s="712"/>
      <c r="D433" s="712"/>
      <c r="E433" s="712"/>
      <c r="F433" s="713"/>
      <c r="H433" s="711" t="s">
        <v>19</v>
      </c>
      <c r="I433" s="712"/>
      <c r="J433" s="712"/>
      <c r="K433" s="712"/>
      <c r="L433" s="712"/>
      <c r="M433" s="713"/>
      <c r="O433" s="711" t="s">
        <v>19</v>
      </c>
      <c r="P433" s="712"/>
      <c r="Q433" s="712"/>
      <c r="R433" s="712"/>
      <c r="S433" s="712"/>
      <c r="T433" s="713"/>
      <c r="V433" s="711" t="s">
        <v>19</v>
      </c>
      <c r="W433" s="712"/>
      <c r="X433" s="712"/>
      <c r="Y433" s="712"/>
      <c r="Z433" s="712"/>
      <c r="AA433" s="713"/>
      <c r="AC433" s="711" t="s">
        <v>19</v>
      </c>
      <c r="AD433" s="712"/>
      <c r="AE433" s="712"/>
      <c r="AF433" s="712"/>
      <c r="AG433" s="712"/>
      <c r="AH433" s="713"/>
      <c r="AJ433" s="711" t="s">
        <v>19</v>
      </c>
      <c r="AK433" s="712"/>
      <c r="AL433" s="712"/>
      <c r="AM433" s="712"/>
      <c r="AN433" s="712"/>
      <c r="AO433" s="713"/>
      <c r="AQ433" s="711" t="s">
        <v>19</v>
      </c>
      <c r="AR433" s="712"/>
      <c r="AS433" s="712"/>
      <c r="AT433" s="712"/>
      <c r="AU433" s="712"/>
      <c r="AV433" s="713"/>
      <c r="AX433" s="711" t="s">
        <v>19</v>
      </c>
      <c r="AY433" s="712"/>
      <c r="AZ433" s="712"/>
      <c r="BA433" s="712"/>
      <c r="BB433" s="712"/>
      <c r="BC433" s="713"/>
      <c r="BE433" s="711" t="s">
        <v>19</v>
      </c>
      <c r="BF433" s="712"/>
      <c r="BG433" s="712"/>
      <c r="BH433" s="712"/>
      <c r="BI433" s="712"/>
      <c r="BJ433" s="713"/>
      <c r="BL433" s="711" t="s">
        <v>19</v>
      </c>
      <c r="BM433" s="712"/>
      <c r="BN433" s="712"/>
      <c r="BO433" s="712"/>
      <c r="BP433" s="712"/>
      <c r="BQ433" s="713"/>
      <c r="BS433" s="711" t="s">
        <v>19</v>
      </c>
      <c r="BT433" s="712"/>
      <c r="BU433" s="712"/>
      <c r="BV433" s="712"/>
      <c r="BW433" s="712"/>
      <c r="BX433" s="713"/>
      <c r="BZ433" s="711" t="s">
        <v>19</v>
      </c>
      <c r="CA433" s="712"/>
      <c r="CB433" s="712"/>
      <c r="CC433" s="712"/>
      <c r="CD433" s="712"/>
      <c r="CE433" s="713"/>
    </row>
    <row r="434" spans="1:83" ht="15" customHeight="1" thickBot="1">
      <c r="A434" s="8" t="s">
        <v>1</v>
      </c>
      <c r="B434" s="5" t="s">
        <v>2</v>
      </c>
      <c r="C434" s="8" t="s">
        <v>3</v>
      </c>
      <c r="D434" s="8" t="s">
        <v>9</v>
      </c>
      <c r="E434" s="8" t="s">
        <v>10</v>
      </c>
      <c r="F434" s="8" t="s">
        <v>11</v>
      </c>
      <c r="H434" s="8" t="s">
        <v>1</v>
      </c>
      <c r="I434" s="5" t="s">
        <v>2</v>
      </c>
      <c r="J434" s="8" t="s">
        <v>3</v>
      </c>
      <c r="K434" s="8" t="s">
        <v>9</v>
      </c>
      <c r="L434" s="8" t="s">
        <v>10</v>
      </c>
      <c r="M434" s="8" t="s">
        <v>11</v>
      </c>
      <c r="O434" s="8" t="s">
        <v>1</v>
      </c>
      <c r="P434" s="5" t="s">
        <v>2</v>
      </c>
      <c r="Q434" s="8" t="s">
        <v>3</v>
      </c>
      <c r="R434" s="8" t="s">
        <v>9</v>
      </c>
      <c r="S434" s="8" t="s">
        <v>10</v>
      </c>
      <c r="T434" s="8" t="s">
        <v>11</v>
      </c>
      <c r="V434" s="8" t="s">
        <v>1</v>
      </c>
      <c r="W434" s="5" t="s">
        <v>2</v>
      </c>
      <c r="X434" s="8" t="s">
        <v>3</v>
      </c>
      <c r="Y434" s="8" t="s">
        <v>9</v>
      </c>
      <c r="Z434" s="8" t="s">
        <v>10</v>
      </c>
      <c r="AA434" s="8" t="s">
        <v>11</v>
      </c>
      <c r="AC434" s="389" t="s">
        <v>1</v>
      </c>
      <c r="AD434" s="390" t="s">
        <v>2</v>
      </c>
      <c r="AE434" s="389" t="s">
        <v>3</v>
      </c>
      <c r="AF434" s="389" t="s">
        <v>9</v>
      </c>
      <c r="AG434" s="389" t="s">
        <v>10</v>
      </c>
      <c r="AH434" s="389" t="s">
        <v>11</v>
      </c>
      <c r="AJ434" s="389" t="s">
        <v>1</v>
      </c>
      <c r="AK434" s="390" t="s">
        <v>2</v>
      </c>
      <c r="AL434" s="389" t="s">
        <v>3</v>
      </c>
      <c r="AM434" s="389" t="s">
        <v>9</v>
      </c>
      <c r="AN434" s="389" t="s">
        <v>10</v>
      </c>
      <c r="AO434" s="389" t="s">
        <v>11</v>
      </c>
      <c r="AQ434" s="389" t="s">
        <v>1</v>
      </c>
      <c r="AR434" s="390" t="s">
        <v>2</v>
      </c>
      <c r="AS434" s="389" t="s">
        <v>3</v>
      </c>
      <c r="AT434" s="389" t="s">
        <v>9</v>
      </c>
      <c r="AU434" s="389" t="s">
        <v>10</v>
      </c>
      <c r="AV434" s="389" t="s">
        <v>11</v>
      </c>
      <c r="AX434" s="389" t="s">
        <v>1</v>
      </c>
      <c r="AY434" s="390" t="s">
        <v>2</v>
      </c>
      <c r="AZ434" s="389" t="s">
        <v>3</v>
      </c>
      <c r="BA434" s="389" t="s">
        <v>9</v>
      </c>
      <c r="BB434" s="389" t="s">
        <v>10</v>
      </c>
      <c r="BC434" s="389" t="s">
        <v>11</v>
      </c>
      <c r="BE434" s="389" t="s">
        <v>1</v>
      </c>
      <c r="BF434" s="390" t="s">
        <v>2</v>
      </c>
      <c r="BG434" s="389" t="s">
        <v>3</v>
      </c>
      <c r="BH434" s="389" t="s">
        <v>9</v>
      </c>
      <c r="BI434" s="389" t="s">
        <v>10</v>
      </c>
      <c r="BJ434" s="389" t="s">
        <v>11</v>
      </c>
      <c r="BL434" s="389" t="s">
        <v>1</v>
      </c>
      <c r="BM434" s="390" t="s">
        <v>2</v>
      </c>
      <c r="BN434" s="389" t="s">
        <v>3</v>
      </c>
      <c r="BO434" s="389" t="s">
        <v>9</v>
      </c>
      <c r="BP434" s="389" t="s">
        <v>10</v>
      </c>
      <c r="BQ434" s="389" t="s">
        <v>11</v>
      </c>
      <c r="BS434" s="8" t="s">
        <v>1</v>
      </c>
      <c r="BT434" s="5" t="s">
        <v>2</v>
      </c>
      <c r="BU434" s="8" t="s">
        <v>3</v>
      </c>
      <c r="BV434" s="8" t="s">
        <v>9</v>
      </c>
      <c r="BW434" s="8" t="s">
        <v>10</v>
      </c>
      <c r="BX434" s="8" t="s">
        <v>11</v>
      </c>
      <c r="BZ434" s="8" t="s">
        <v>1</v>
      </c>
      <c r="CA434" s="5" t="s">
        <v>2</v>
      </c>
      <c r="CB434" s="8" t="s">
        <v>3</v>
      </c>
      <c r="CC434" s="8" t="s">
        <v>9</v>
      </c>
      <c r="CD434" s="8" t="s">
        <v>10</v>
      </c>
      <c r="CE434" s="8" t="s">
        <v>11</v>
      </c>
    </row>
    <row r="435" spans="1:83" ht="15" customHeight="1">
      <c r="A435" s="463" t="s">
        <v>255</v>
      </c>
      <c r="B435" s="10" t="s">
        <v>22</v>
      </c>
      <c r="C435" s="9" t="s">
        <v>21</v>
      </c>
      <c r="D435" s="27">
        <f>1/9</f>
        <v>0.1111111111111111</v>
      </c>
      <c r="E435" s="12">
        <f>'ANÁLISIS CUADRILLAS'!F7</f>
        <v>1160.5378059999998</v>
      </c>
      <c r="F435" s="13">
        <f>D435*E435</f>
        <v>128.94864511111109</v>
      </c>
      <c r="H435" s="463" t="s">
        <v>255</v>
      </c>
      <c r="I435" s="10" t="s">
        <v>20</v>
      </c>
      <c r="J435" s="9" t="s">
        <v>21</v>
      </c>
      <c r="K435" s="27">
        <f>1/12</f>
        <v>8.3333333333333329E-2</v>
      </c>
      <c r="L435" s="12">
        <f>'ANÁLISIS CUADRILLAS'!F7</f>
        <v>1160.5378059999998</v>
      </c>
      <c r="M435" s="13">
        <f>(K435*L435)</f>
        <v>96.711483833333318</v>
      </c>
      <c r="O435" s="463" t="s">
        <v>255</v>
      </c>
      <c r="P435" s="10" t="s">
        <v>22</v>
      </c>
      <c r="Q435" s="9" t="s">
        <v>21</v>
      </c>
      <c r="R435" s="27">
        <f>1/9</f>
        <v>0.1111111111111111</v>
      </c>
      <c r="S435" s="12">
        <f>'ANÁLISIS CUADRILLAS'!F7</f>
        <v>1160.5378059999998</v>
      </c>
      <c r="T435" s="13">
        <f>R435*S435</f>
        <v>128.94864511111109</v>
      </c>
      <c r="V435" s="463" t="s">
        <v>255</v>
      </c>
      <c r="W435" s="10" t="s">
        <v>22</v>
      </c>
      <c r="X435" s="9" t="s">
        <v>21</v>
      </c>
      <c r="Y435" s="27">
        <f>1/9</f>
        <v>0.1111111111111111</v>
      </c>
      <c r="Z435" s="12">
        <f>'ANÁLISIS CUADRILLAS'!F7</f>
        <v>1160.5378059999998</v>
      </c>
      <c r="AA435" s="13">
        <f>Y435*Z435</f>
        <v>128.94864511111109</v>
      </c>
      <c r="AC435" s="512" t="s">
        <v>255</v>
      </c>
      <c r="AD435" s="402" t="s">
        <v>845</v>
      </c>
      <c r="AE435" s="403" t="s">
        <v>21</v>
      </c>
      <c r="AF435" s="404">
        <f>1/11.76</f>
        <v>8.5034013605442174E-2</v>
      </c>
      <c r="AG435" s="405">
        <f>'ANÁLISIS CUADRILLAS'!F7</f>
        <v>1160.5378059999998</v>
      </c>
      <c r="AH435" s="393">
        <f>AF435*AG435</f>
        <v>98.685187585034001</v>
      </c>
      <c r="AJ435" s="512" t="s">
        <v>255</v>
      </c>
      <c r="AK435" s="402" t="s">
        <v>845</v>
      </c>
      <c r="AL435" s="403" t="s">
        <v>21</v>
      </c>
      <c r="AM435" s="404">
        <f>1/11.76</f>
        <v>8.5034013605442174E-2</v>
      </c>
      <c r="AN435" s="405">
        <f>'ANÁLISIS CUADRILLAS'!F7</f>
        <v>1160.5378059999998</v>
      </c>
      <c r="AO435" s="393">
        <f>AM435*AN435</f>
        <v>98.685187585034001</v>
      </c>
      <c r="AQ435" s="512" t="s">
        <v>255</v>
      </c>
      <c r="AR435" s="402" t="s">
        <v>845</v>
      </c>
      <c r="AS435" s="403" t="s">
        <v>21</v>
      </c>
      <c r="AT435" s="404">
        <f>1/11.76</f>
        <v>8.5034013605442174E-2</v>
      </c>
      <c r="AU435" s="405">
        <f>'ANÁLISIS CUADRILLAS'!F7</f>
        <v>1160.5378059999998</v>
      </c>
      <c r="AV435" s="393">
        <f>AT435*AU435</f>
        <v>98.685187585034001</v>
      </c>
      <c r="AX435" s="512" t="s">
        <v>255</v>
      </c>
      <c r="AY435" s="402" t="s">
        <v>845</v>
      </c>
      <c r="AZ435" s="403" t="s">
        <v>21</v>
      </c>
      <c r="BA435" s="404">
        <f>1/11.76</f>
        <v>8.5034013605442174E-2</v>
      </c>
      <c r="BB435" s="405">
        <f>'ANÁLISIS CUADRILLAS'!F7</f>
        <v>1160.5378059999998</v>
      </c>
      <c r="BC435" s="393">
        <f>BA435*BB435</f>
        <v>98.685187585034001</v>
      </c>
      <c r="BE435" s="512" t="s">
        <v>255</v>
      </c>
      <c r="BF435" s="402" t="s">
        <v>845</v>
      </c>
      <c r="BG435" s="403" t="s">
        <v>21</v>
      </c>
      <c r="BH435" s="404">
        <f>1/11.76</f>
        <v>8.5034013605442174E-2</v>
      </c>
      <c r="BI435" s="405">
        <f>'ANÁLISIS CUADRILLAS'!F7</f>
        <v>1160.5378059999998</v>
      </c>
      <c r="BJ435" s="393">
        <f>BH435*BI435</f>
        <v>98.685187585034001</v>
      </c>
      <c r="BL435" s="512" t="s">
        <v>255</v>
      </c>
      <c r="BM435" s="402" t="s">
        <v>845</v>
      </c>
      <c r="BN435" s="403" t="s">
        <v>21</v>
      </c>
      <c r="BO435" s="404">
        <f>1/11.76</f>
        <v>8.5034013605442174E-2</v>
      </c>
      <c r="BP435" s="405">
        <f>'ANÁLISIS CUADRILLAS'!F7</f>
        <v>1160.5378059999998</v>
      </c>
      <c r="BQ435" s="393">
        <f>BO435*BP435</f>
        <v>98.685187585034001</v>
      </c>
      <c r="BS435" s="463" t="s">
        <v>255</v>
      </c>
      <c r="BT435" s="10" t="s">
        <v>20</v>
      </c>
      <c r="BU435" s="9" t="s">
        <v>21</v>
      </c>
      <c r="BV435" s="27">
        <f>1/12</f>
        <v>8.3333333333333329E-2</v>
      </c>
      <c r="BW435" s="12">
        <f>'ANÁLISIS CUADRILLAS'!F7</f>
        <v>1160.5378059999998</v>
      </c>
      <c r="BX435" s="13">
        <f>(BV435*BW435)</f>
        <v>96.711483833333318</v>
      </c>
      <c r="BZ435" s="463" t="s">
        <v>255</v>
      </c>
      <c r="CA435" s="10" t="s">
        <v>22</v>
      </c>
      <c r="CB435" s="9" t="s">
        <v>21</v>
      </c>
      <c r="CC435" s="27">
        <f>1/9</f>
        <v>0.1111111111111111</v>
      </c>
      <c r="CD435" s="12">
        <f>'ANÁLISIS CUADRILLAS'!F7</f>
        <v>1160.5378059999998</v>
      </c>
      <c r="CE435" s="13">
        <f>CC435*CD435</f>
        <v>128.94864511111109</v>
      </c>
    </row>
    <row r="436" spans="1:83" ht="15" customHeight="1" thickBot="1">
      <c r="A436" s="16"/>
      <c r="B436" s="17"/>
      <c r="C436" s="16"/>
      <c r="D436" s="30"/>
      <c r="E436" s="19"/>
      <c r="F436" s="20"/>
      <c r="H436" s="21"/>
      <c r="I436" s="22"/>
      <c r="J436" s="21"/>
      <c r="K436" s="28"/>
      <c r="L436" s="29"/>
      <c r="M436" s="20"/>
      <c r="O436" s="16"/>
      <c r="P436" s="17"/>
      <c r="Q436" s="16"/>
      <c r="R436" s="30"/>
      <c r="S436" s="19"/>
      <c r="T436" s="20"/>
      <c r="V436" s="16"/>
      <c r="W436" s="17"/>
      <c r="X436" s="16"/>
      <c r="Y436" s="30"/>
      <c r="Z436" s="19"/>
      <c r="AA436" s="20"/>
      <c r="AC436" s="397"/>
      <c r="AD436" s="398"/>
      <c r="AE436" s="397"/>
      <c r="AF436" s="397"/>
      <c r="AG436" s="399"/>
      <c r="AH436" s="399"/>
      <c r="AJ436" s="397"/>
      <c r="AK436" s="398"/>
      <c r="AL436" s="397"/>
      <c r="AM436" s="397"/>
      <c r="AN436" s="399"/>
      <c r="AO436" s="399"/>
      <c r="AQ436" s="397"/>
      <c r="AR436" s="398"/>
      <c r="AS436" s="397"/>
      <c r="AT436" s="397"/>
      <c r="AU436" s="399"/>
      <c r="AV436" s="399"/>
      <c r="AX436" s="397"/>
      <c r="AY436" s="398"/>
      <c r="AZ436" s="397"/>
      <c r="BA436" s="397"/>
      <c r="BB436" s="399"/>
      <c r="BC436" s="399"/>
      <c r="BE436" s="397"/>
      <c r="BF436" s="398"/>
      <c r="BG436" s="397"/>
      <c r="BH436" s="397"/>
      <c r="BI436" s="399"/>
      <c r="BJ436" s="399"/>
      <c r="BL436" s="397"/>
      <c r="BM436" s="398"/>
      <c r="BN436" s="397"/>
      <c r="BO436" s="397"/>
      <c r="BP436" s="399"/>
      <c r="BQ436" s="399"/>
      <c r="BS436" s="21"/>
      <c r="BT436" s="22"/>
      <c r="BU436" s="21"/>
      <c r="BV436" s="28"/>
      <c r="BW436" s="29"/>
      <c r="BX436" s="20"/>
      <c r="BZ436" s="16"/>
      <c r="CA436" s="17"/>
      <c r="CB436" s="16"/>
      <c r="CC436" s="30"/>
      <c r="CD436" s="19"/>
      <c r="CE436" s="20"/>
    </row>
    <row r="437" spans="1:83" ht="15" customHeight="1" thickBot="1">
      <c r="A437" s="31"/>
      <c r="B437" s="32"/>
      <c r="C437" s="31"/>
      <c r="D437" s="33"/>
      <c r="E437" s="34"/>
      <c r="F437" s="25"/>
      <c r="H437" s="23"/>
      <c r="I437" s="24"/>
      <c r="J437" s="23"/>
      <c r="K437" s="23"/>
      <c r="L437" s="25"/>
      <c r="M437" s="25"/>
      <c r="O437" s="31"/>
      <c r="P437" s="32"/>
      <c r="Q437" s="31"/>
      <c r="R437" s="33"/>
      <c r="S437" s="34"/>
      <c r="T437" s="25"/>
      <c r="V437" s="31"/>
      <c r="W437" s="32"/>
      <c r="X437" s="31"/>
      <c r="Y437" s="33"/>
      <c r="Z437" s="34"/>
      <c r="AA437" s="25"/>
      <c r="AC437" s="714" t="s">
        <v>18</v>
      </c>
      <c r="AD437" s="715"/>
      <c r="AE437" s="715"/>
      <c r="AF437" s="715"/>
      <c r="AG437" s="716"/>
      <c r="AH437" s="35">
        <f>SUM(AH435:AH436)</f>
        <v>98.685187585034001</v>
      </c>
      <c r="AJ437" s="714" t="s">
        <v>18</v>
      </c>
      <c r="AK437" s="715"/>
      <c r="AL437" s="715"/>
      <c r="AM437" s="715"/>
      <c r="AN437" s="716"/>
      <c r="AO437" s="35">
        <f>SUM(AO435:AO436)</f>
        <v>98.685187585034001</v>
      </c>
      <c r="AQ437" s="714" t="s">
        <v>18</v>
      </c>
      <c r="AR437" s="715"/>
      <c r="AS437" s="715"/>
      <c r="AT437" s="715"/>
      <c r="AU437" s="716"/>
      <c r="AV437" s="35">
        <f>SUM(AV435:AV436)</f>
        <v>98.685187585034001</v>
      </c>
      <c r="AX437" s="714" t="s">
        <v>18</v>
      </c>
      <c r="AY437" s="715"/>
      <c r="AZ437" s="715"/>
      <c r="BA437" s="715"/>
      <c r="BB437" s="716"/>
      <c r="BC437" s="35">
        <f>SUM(BC435:BC436)</f>
        <v>98.685187585034001</v>
      </c>
      <c r="BE437" s="714" t="s">
        <v>18</v>
      </c>
      <c r="BF437" s="715"/>
      <c r="BG437" s="715"/>
      <c r="BH437" s="715"/>
      <c r="BI437" s="716"/>
      <c r="BJ437" s="35">
        <f>SUM(BJ435:BJ436)</f>
        <v>98.685187585034001</v>
      </c>
      <c r="BL437" s="714" t="s">
        <v>18</v>
      </c>
      <c r="BM437" s="715"/>
      <c r="BN437" s="715"/>
      <c r="BO437" s="715"/>
      <c r="BP437" s="716"/>
      <c r="BQ437" s="35">
        <f>SUM(BQ435:BQ436)</f>
        <v>98.685187585034001</v>
      </c>
      <c r="BS437" s="23"/>
      <c r="BT437" s="24"/>
      <c r="BU437" s="23"/>
      <c r="BV437" s="23"/>
      <c r="BW437" s="25"/>
      <c r="BX437" s="25"/>
      <c r="BZ437" s="31"/>
      <c r="CA437" s="32"/>
      <c r="CB437" s="31"/>
      <c r="CC437" s="33"/>
      <c r="CD437" s="34"/>
      <c r="CE437" s="25"/>
    </row>
    <row r="438" spans="1:83" ht="15" customHeight="1" thickBot="1">
      <c r="A438" s="714" t="s">
        <v>18</v>
      </c>
      <c r="B438" s="715"/>
      <c r="C438" s="715"/>
      <c r="D438" s="715"/>
      <c r="E438" s="716"/>
      <c r="F438" s="35">
        <f>SUM(F435:F437)</f>
        <v>128.94864511111109</v>
      </c>
      <c r="H438" s="714" t="s">
        <v>18</v>
      </c>
      <c r="I438" s="715"/>
      <c r="J438" s="715"/>
      <c r="K438" s="715"/>
      <c r="L438" s="716"/>
      <c r="M438" s="35">
        <f>SUM(M435:M437)</f>
        <v>96.711483833333318</v>
      </c>
      <c r="O438" s="714" t="s">
        <v>18</v>
      </c>
      <c r="P438" s="715"/>
      <c r="Q438" s="715"/>
      <c r="R438" s="715"/>
      <c r="S438" s="716"/>
      <c r="T438" s="35">
        <f>SUM(T435:T437)</f>
        <v>128.94864511111109</v>
      </c>
      <c r="V438" s="714" t="s">
        <v>18</v>
      </c>
      <c r="W438" s="715"/>
      <c r="X438" s="715"/>
      <c r="Y438" s="715"/>
      <c r="Z438" s="716"/>
      <c r="AA438" s="35">
        <f>SUM(AA435:AA437)</f>
        <v>128.94864511111109</v>
      </c>
      <c r="AC438" s="717" t="s">
        <v>23</v>
      </c>
      <c r="AD438" s="718"/>
      <c r="AE438" s="718"/>
      <c r="AF438" s="718"/>
      <c r="AG438" s="718"/>
      <c r="AH438" s="719"/>
      <c r="AJ438" s="717" t="s">
        <v>23</v>
      </c>
      <c r="AK438" s="718"/>
      <c r="AL438" s="718"/>
      <c r="AM438" s="718"/>
      <c r="AN438" s="718"/>
      <c r="AO438" s="719"/>
      <c r="AQ438" s="717" t="s">
        <v>23</v>
      </c>
      <c r="AR438" s="718"/>
      <c r="AS438" s="718"/>
      <c r="AT438" s="718"/>
      <c r="AU438" s="718"/>
      <c r="AV438" s="719"/>
      <c r="AX438" s="717" t="s">
        <v>23</v>
      </c>
      <c r="AY438" s="718"/>
      <c r="AZ438" s="718"/>
      <c r="BA438" s="718"/>
      <c r="BB438" s="718"/>
      <c r="BC438" s="719"/>
      <c r="BE438" s="717" t="s">
        <v>23</v>
      </c>
      <c r="BF438" s="718"/>
      <c r="BG438" s="718"/>
      <c r="BH438" s="718"/>
      <c r="BI438" s="718"/>
      <c r="BJ438" s="719"/>
      <c r="BL438" s="717" t="s">
        <v>23</v>
      </c>
      <c r="BM438" s="718"/>
      <c r="BN438" s="718"/>
      <c r="BO438" s="718"/>
      <c r="BP438" s="718"/>
      <c r="BQ438" s="719"/>
      <c r="BS438" s="714" t="s">
        <v>18</v>
      </c>
      <c r="BT438" s="715"/>
      <c r="BU438" s="715"/>
      <c r="BV438" s="715"/>
      <c r="BW438" s="716"/>
      <c r="BX438" s="35">
        <f>SUM(BX435:BX437)</f>
        <v>96.711483833333318</v>
      </c>
      <c r="BZ438" s="714" t="s">
        <v>18</v>
      </c>
      <c r="CA438" s="715"/>
      <c r="CB438" s="715"/>
      <c r="CC438" s="715"/>
      <c r="CD438" s="716"/>
      <c r="CE438" s="35">
        <f>SUM(CE435:CE437)</f>
        <v>128.94864511111109</v>
      </c>
    </row>
    <row r="439" spans="1:83" ht="15" customHeight="1" thickBot="1">
      <c r="A439" s="717" t="s">
        <v>23</v>
      </c>
      <c r="B439" s="718"/>
      <c r="C439" s="718"/>
      <c r="D439" s="718"/>
      <c r="E439" s="718"/>
      <c r="F439" s="719"/>
      <c r="H439" s="717" t="s">
        <v>23</v>
      </c>
      <c r="I439" s="718"/>
      <c r="J439" s="718"/>
      <c r="K439" s="718"/>
      <c r="L439" s="718"/>
      <c r="M439" s="719"/>
      <c r="O439" s="717" t="s">
        <v>23</v>
      </c>
      <c r="P439" s="718"/>
      <c r="Q439" s="718"/>
      <c r="R439" s="718"/>
      <c r="S439" s="718"/>
      <c r="T439" s="719"/>
      <c r="V439" s="717" t="s">
        <v>23</v>
      </c>
      <c r="W439" s="718"/>
      <c r="X439" s="718"/>
      <c r="Y439" s="718"/>
      <c r="Z439" s="718"/>
      <c r="AA439" s="719"/>
      <c r="AC439" s="389" t="s">
        <v>1</v>
      </c>
      <c r="AD439" s="390" t="s">
        <v>2</v>
      </c>
      <c r="AE439" s="389" t="s">
        <v>3</v>
      </c>
      <c r="AF439" s="389" t="s">
        <v>9</v>
      </c>
      <c r="AG439" s="389" t="s">
        <v>10</v>
      </c>
      <c r="AH439" s="389" t="s">
        <v>11</v>
      </c>
      <c r="AJ439" s="389" t="s">
        <v>1</v>
      </c>
      <c r="AK439" s="390" t="s">
        <v>2</v>
      </c>
      <c r="AL439" s="389" t="s">
        <v>3</v>
      </c>
      <c r="AM439" s="389" t="s">
        <v>9</v>
      </c>
      <c r="AN439" s="389" t="s">
        <v>10</v>
      </c>
      <c r="AO439" s="389" t="s">
        <v>11</v>
      </c>
      <c r="AQ439" s="389" t="s">
        <v>1</v>
      </c>
      <c r="AR439" s="390" t="s">
        <v>2</v>
      </c>
      <c r="AS439" s="389" t="s">
        <v>3</v>
      </c>
      <c r="AT439" s="389" t="s">
        <v>9</v>
      </c>
      <c r="AU439" s="389" t="s">
        <v>10</v>
      </c>
      <c r="AV439" s="389" t="s">
        <v>11</v>
      </c>
      <c r="AX439" s="389" t="s">
        <v>1</v>
      </c>
      <c r="AY439" s="390" t="s">
        <v>2</v>
      </c>
      <c r="AZ439" s="389" t="s">
        <v>3</v>
      </c>
      <c r="BA439" s="389" t="s">
        <v>9</v>
      </c>
      <c r="BB439" s="389" t="s">
        <v>10</v>
      </c>
      <c r="BC439" s="389" t="s">
        <v>11</v>
      </c>
      <c r="BE439" s="389" t="s">
        <v>1</v>
      </c>
      <c r="BF439" s="390" t="s">
        <v>2</v>
      </c>
      <c r="BG439" s="389" t="s">
        <v>3</v>
      </c>
      <c r="BH439" s="389" t="s">
        <v>9</v>
      </c>
      <c r="BI439" s="389" t="s">
        <v>10</v>
      </c>
      <c r="BJ439" s="389" t="s">
        <v>11</v>
      </c>
      <c r="BL439" s="389" t="s">
        <v>1</v>
      </c>
      <c r="BM439" s="390" t="s">
        <v>2</v>
      </c>
      <c r="BN439" s="389" t="s">
        <v>3</v>
      </c>
      <c r="BO439" s="389" t="s">
        <v>9</v>
      </c>
      <c r="BP439" s="389" t="s">
        <v>10</v>
      </c>
      <c r="BQ439" s="389" t="s">
        <v>11</v>
      </c>
      <c r="BS439" s="717" t="s">
        <v>23</v>
      </c>
      <c r="BT439" s="718"/>
      <c r="BU439" s="718"/>
      <c r="BV439" s="718"/>
      <c r="BW439" s="718"/>
      <c r="BX439" s="719"/>
      <c r="BZ439" s="717" t="s">
        <v>23</v>
      </c>
      <c r="CA439" s="718"/>
      <c r="CB439" s="718"/>
      <c r="CC439" s="718"/>
      <c r="CD439" s="718"/>
      <c r="CE439" s="719"/>
    </row>
    <row r="440" spans="1:83" ht="15" customHeight="1" thickBot="1">
      <c r="A440" s="8" t="s">
        <v>1</v>
      </c>
      <c r="B440" s="5" t="s">
        <v>2</v>
      </c>
      <c r="C440" s="8" t="s">
        <v>3</v>
      </c>
      <c r="D440" s="8" t="s">
        <v>9</v>
      </c>
      <c r="E440" s="8" t="s">
        <v>10</v>
      </c>
      <c r="F440" s="8" t="s">
        <v>11</v>
      </c>
      <c r="H440" s="8" t="s">
        <v>1</v>
      </c>
      <c r="I440" s="5" t="s">
        <v>2</v>
      </c>
      <c r="J440" s="8" t="s">
        <v>3</v>
      </c>
      <c r="K440" s="8" t="s">
        <v>9</v>
      </c>
      <c r="L440" s="8" t="s">
        <v>10</v>
      </c>
      <c r="M440" s="8" t="s">
        <v>11</v>
      </c>
      <c r="O440" s="8" t="s">
        <v>1</v>
      </c>
      <c r="P440" s="5" t="s">
        <v>2</v>
      </c>
      <c r="Q440" s="8" t="s">
        <v>3</v>
      </c>
      <c r="R440" s="8" t="s">
        <v>9</v>
      </c>
      <c r="S440" s="8" t="s">
        <v>10</v>
      </c>
      <c r="T440" s="8" t="s">
        <v>11</v>
      </c>
      <c r="V440" s="8" t="s">
        <v>1</v>
      </c>
      <c r="W440" s="5" t="s">
        <v>2</v>
      </c>
      <c r="X440" s="8" t="s">
        <v>3</v>
      </c>
      <c r="Y440" s="8" t="s">
        <v>9</v>
      </c>
      <c r="Z440" s="8" t="s">
        <v>10</v>
      </c>
      <c r="AA440" s="8" t="s">
        <v>11</v>
      </c>
      <c r="AC440" s="406" t="s">
        <v>24</v>
      </c>
      <c r="AD440" s="407" t="s">
        <v>23</v>
      </c>
      <c r="AE440" s="406" t="s">
        <v>25</v>
      </c>
      <c r="AF440" s="408">
        <v>0.03</v>
      </c>
      <c r="AG440" s="409">
        <f>AH435</f>
        <v>98.685187585034001</v>
      </c>
      <c r="AH440" s="409">
        <f>AF440*AG440</f>
        <v>2.9605556275510199</v>
      </c>
      <c r="AJ440" s="406" t="s">
        <v>24</v>
      </c>
      <c r="AK440" s="407" t="s">
        <v>23</v>
      </c>
      <c r="AL440" s="406" t="s">
        <v>25</v>
      </c>
      <c r="AM440" s="408">
        <v>0.03</v>
      </c>
      <c r="AN440" s="409">
        <f>AO435</f>
        <v>98.685187585034001</v>
      </c>
      <c r="AO440" s="409">
        <f>AM440*AN440</f>
        <v>2.9605556275510199</v>
      </c>
      <c r="AQ440" s="406" t="s">
        <v>24</v>
      </c>
      <c r="AR440" s="407" t="s">
        <v>23</v>
      </c>
      <c r="AS440" s="406" t="s">
        <v>25</v>
      </c>
      <c r="AT440" s="408">
        <v>0.03</v>
      </c>
      <c r="AU440" s="409">
        <f>AV435</f>
        <v>98.685187585034001</v>
      </c>
      <c r="AV440" s="409">
        <f>AT440*AU440</f>
        <v>2.9605556275510199</v>
      </c>
      <c r="AX440" s="406" t="s">
        <v>24</v>
      </c>
      <c r="AY440" s="407" t="s">
        <v>23</v>
      </c>
      <c r="AZ440" s="406" t="s">
        <v>25</v>
      </c>
      <c r="BA440" s="408">
        <v>0.03</v>
      </c>
      <c r="BB440" s="409">
        <f>BC435</f>
        <v>98.685187585034001</v>
      </c>
      <c r="BC440" s="409">
        <f>BA440*BB440</f>
        <v>2.9605556275510199</v>
      </c>
      <c r="BE440" s="406" t="s">
        <v>24</v>
      </c>
      <c r="BF440" s="407" t="s">
        <v>23</v>
      </c>
      <c r="BG440" s="406" t="s">
        <v>25</v>
      </c>
      <c r="BH440" s="408">
        <v>0.03</v>
      </c>
      <c r="BI440" s="409">
        <f>BJ435</f>
        <v>98.685187585034001</v>
      </c>
      <c r="BJ440" s="409">
        <f>BH440*BI440</f>
        <v>2.9605556275510199</v>
      </c>
      <c r="BL440" s="406" t="s">
        <v>24</v>
      </c>
      <c r="BM440" s="407" t="s">
        <v>23</v>
      </c>
      <c r="BN440" s="406" t="s">
        <v>25</v>
      </c>
      <c r="BO440" s="408">
        <v>0.03</v>
      </c>
      <c r="BP440" s="409">
        <f>BQ435</f>
        <v>98.685187585034001</v>
      </c>
      <c r="BQ440" s="409">
        <f>BO440*BP440</f>
        <v>2.9605556275510199</v>
      </c>
      <c r="BS440" s="8" t="s">
        <v>1</v>
      </c>
      <c r="BT440" s="5" t="s">
        <v>2</v>
      </c>
      <c r="BU440" s="8" t="s">
        <v>3</v>
      </c>
      <c r="BV440" s="8" t="s">
        <v>9</v>
      </c>
      <c r="BW440" s="8" t="s">
        <v>10</v>
      </c>
      <c r="BX440" s="8" t="s">
        <v>11</v>
      </c>
      <c r="BZ440" s="8" t="s">
        <v>1</v>
      </c>
      <c r="CA440" s="5" t="s">
        <v>2</v>
      </c>
      <c r="CB440" s="8" t="s">
        <v>3</v>
      </c>
      <c r="CC440" s="8" t="s">
        <v>9</v>
      </c>
      <c r="CD440" s="8" t="s">
        <v>10</v>
      </c>
      <c r="CE440" s="8" t="s">
        <v>11</v>
      </c>
    </row>
    <row r="441" spans="1:83" ht="15" customHeight="1" thickBot="1">
      <c r="A441" s="36" t="s">
        <v>24</v>
      </c>
      <c r="B441" s="37" t="s">
        <v>23</v>
      </c>
      <c r="C441" s="36" t="s">
        <v>25</v>
      </c>
      <c r="D441" s="38">
        <v>0.03</v>
      </c>
      <c r="E441" s="39">
        <f>F435</f>
        <v>128.94864511111109</v>
      </c>
      <c r="F441" s="39">
        <f>(D441*E441)</f>
        <v>3.8684593533333325</v>
      </c>
      <c r="H441" s="36" t="s">
        <v>24</v>
      </c>
      <c r="I441" s="37" t="s">
        <v>23</v>
      </c>
      <c r="J441" s="36" t="s">
        <v>25</v>
      </c>
      <c r="K441" s="38">
        <v>0.03</v>
      </c>
      <c r="L441" s="39">
        <f>M435</f>
        <v>96.711483833333318</v>
      </c>
      <c r="M441" s="39">
        <f>(K441*L441)</f>
        <v>2.9013445149999995</v>
      </c>
      <c r="O441" s="36" t="s">
        <v>24</v>
      </c>
      <c r="P441" s="37" t="s">
        <v>23</v>
      </c>
      <c r="Q441" s="36" t="s">
        <v>25</v>
      </c>
      <c r="R441" s="38">
        <v>0.03</v>
      </c>
      <c r="S441" s="39">
        <f>T435</f>
        <v>128.94864511111109</v>
      </c>
      <c r="T441" s="39">
        <f>(R441*S441)</f>
        <v>3.8684593533333325</v>
      </c>
      <c r="V441" s="36" t="s">
        <v>24</v>
      </c>
      <c r="W441" s="37" t="s">
        <v>23</v>
      </c>
      <c r="X441" s="36" t="s">
        <v>25</v>
      </c>
      <c r="Y441" s="38">
        <v>0.03</v>
      </c>
      <c r="Z441" s="39">
        <f>AA435</f>
        <v>128.94864511111109</v>
      </c>
      <c r="AA441" s="39">
        <f>(Y441*Z441)</f>
        <v>3.8684593533333325</v>
      </c>
      <c r="AC441" s="720" t="s">
        <v>26</v>
      </c>
      <c r="AD441" s="721"/>
      <c r="AE441" s="721"/>
      <c r="AF441" s="721"/>
      <c r="AG441" s="722"/>
      <c r="AH441" s="40">
        <f>SUM(AH440)</f>
        <v>2.9605556275510199</v>
      </c>
      <c r="AJ441" s="720" t="s">
        <v>26</v>
      </c>
      <c r="AK441" s="721"/>
      <c r="AL441" s="721"/>
      <c r="AM441" s="721"/>
      <c r="AN441" s="722"/>
      <c r="AO441" s="40">
        <f>SUM(AO440)</f>
        <v>2.9605556275510199</v>
      </c>
      <c r="AQ441" s="720" t="s">
        <v>26</v>
      </c>
      <c r="AR441" s="721"/>
      <c r="AS441" s="721"/>
      <c r="AT441" s="721"/>
      <c r="AU441" s="722"/>
      <c r="AV441" s="40">
        <f>SUM(AV440)</f>
        <v>2.9605556275510199</v>
      </c>
      <c r="AX441" s="720" t="s">
        <v>26</v>
      </c>
      <c r="AY441" s="721"/>
      <c r="AZ441" s="721"/>
      <c r="BA441" s="721"/>
      <c r="BB441" s="722"/>
      <c r="BC441" s="40">
        <f>SUM(BC440)</f>
        <v>2.9605556275510199</v>
      </c>
      <c r="BE441" s="720" t="s">
        <v>26</v>
      </c>
      <c r="BF441" s="721"/>
      <c r="BG441" s="721"/>
      <c r="BH441" s="721"/>
      <c r="BI441" s="722"/>
      <c r="BJ441" s="40">
        <f>SUM(BJ440)</f>
        <v>2.9605556275510199</v>
      </c>
      <c r="BL441" s="720" t="s">
        <v>26</v>
      </c>
      <c r="BM441" s="721"/>
      <c r="BN441" s="721"/>
      <c r="BO441" s="721"/>
      <c r="BP441" s="722"/>
      <c r="BQ441" s="40">
        <f>SUM(BQ440)</f>
        <v>2.9605556275510199</v>
      </c>
      <c r="BS441" s="36" t="s">
        <v>24</v>
      </c>
      <c r="BT441" s="37" t="s">
        <v>23</v>
      </c>
      <c r="BU441" s="36" t="s">
        <v>25</v>
      </c>
      <c r="BV441" s="38">
        <v>0.03</v>
      </c>
      <c r="BW441" s="39">
        <f>BX435</f>
        <v>96.711483833333318</v>
      </c>
      <c r="BX441" s="39">
        <f>(BV441*BW441)</f>
        <v>2.9013445149999995</v>
      </c>
      <c r="BZ441" s="36" t="s">
        <v>24</v>
      </c>
      <c r="CA441" s="37" t="s">
        <v>23</v>
      </c>
      <c r="CB441" s="36" t="s">
        <v>25</v>
      </c>
      <c r="CC441" s="38">
        <v>0.03</v>
      </c>
      <c r="CD441" s="39">
        <f>CE435</f>
        <v>128.94864511111109</v>
      </c>
      <c r="CE441" s="39">
        <f>(CC441*CD441)</f>
        <v>3.8684593533333325</v>
      </c>
    </row>
    <row r="442" spans="1:83" ht="15" customHeight="1" thickBot="1">
      <c r="A442" s="720" t="s">
        <v>26</v>
      </c>
      <c r="B442" s="721"/>
      <c r="C442" s="721"/>
      <c r="D442" s="721"/>
      <c r="E442" s="722"/>
      <c r="F442" s="40">
        <f>SUM(F441)</f>
        <v>3.8684593533333325</v>
      </c>
      <c r="H442" s="720" t="s">
        <v>26</v>
      </c>
      <c r="I442" s="721"/>
      <c r="J442" s="721"/>
      <c r="K442" s="721"/>
      <c r="L442" s="722"/>
      <c r="M442" s="40">
        <f>SUM(M441)</f>
        <v>2.9013445149999995</v>
      </c>
      <c r="O442" s="720" t="s">
        <v>26</v>
      </c>
      <c r="P442" s="721"/>
      <c r="Q442" s="721"/>
      <c r="R442" s="721"/>
      <c r="S442" s="722"/>
      <c r="T442" s="40">
        <f>SUM(T441)</f>
        <v>3.8684593533333325</v>
      </c>
      <c r="V442" s="720" t="s">
        <v>26</v>
      </c>
      <c r="W442" s="721"/>
      <c r="X442" s="721"/>
      <c r="Y442" s="721"/>
      <c r="Z442" s="722"/>
      <c r="AA442" s="40">
        <f>SUM(AA441)</f>
        <v>3.8684593533333325</v>
      </c>
      <c r="AC442" s="723" t="s">
        <v>27</v>
      </c>
      <c r="AD442" s="724"/>
      <c r="AE442" s="724"/>
      <c r="AF442" s="724"/>
      <c r="AG442" s="724"/>
      <c r="AH442" s="725"/>
      <c r="AJ442" s="723" t="s">
        <v>27</v>
      </c>
      <c r="AK442" s="724"/>
      <c r="AL442" s="724"/>
      <c r="AM442" s="724"/>
      <c r="AN442" s="724"/>
      <c r="AO442" s="725"/>
      <c r="AQ442" s="723" t="s">
        <v>27</v>
      </c>
      <c r="AR442" s="724"/>
      <c r="AS442" s="724"/>
      <c r="AT442" s="724"/>
      <c r="AU442" s="724"/>
      <c r="AV442" s="725"/>
      <c r="AX442" s="723" t="s">
        <v>27</v>
      </c>
      <c r="AY442" s="724"/>
      <c r="AZ442" s="724"/>
      <c r="BA442" s="724"/>
      <c r="BB442" s="724"/>
      <c r="BC442" s="725"/>
      <c r="BE442" s="723" t="s">
        <v>27</v>
      </c>
      <c r="BF442" s="724"/>
      <c r="BG442" s="724"/>
      <c r="BH442" s="724"/>
      <c r="BI442" s="724"/>
      <c r="BJ442" s="725"/>
      <c r="BL442" s="723" t="s">
        <v>27</v>
      </c>
      <c r="BM442" s="724"/>
      <c r="BN442" s="724"/>
      <c r="BO442" s="724"/>
      <c r="BP442" s="724"/>
      <c r="BQ442" s="725"/>
      <c r="BS442" s="720" t="s">
        <v>26</v>
      </c>
      <c r="BT442" s="721"/>
      <c r="BU442" s="721"/>
      <c r="BV442" s="721"/>
      <c r="BW442" s="722"/>
      <c r="BX442" s="40">
        <f>SUM(BX441)</f>
        <v>2.9013445149999995</v>
      </c>
      <c r="BZ442" s="720" t="s">
        <v>26</v>
      </c>
      <c r="CA442" s="721"/>
      <c r="CB442" s="721"/>
      <c r="CC442" s="721"/>
      <c r="CD442" s="722"/>
      <c r="CE442" s="40">
        <f>SUM(CE441)</f>
        <v>3.8684593533333325</v>
      </c>
    </row>
    <row r="443" spans="1:83" ht="15" customHeight="1" thickBot="1">
      <c r="A443" s="723" t="s">
        <v>27</v>
      </c>
      <c r="B443" s="724"/>
      <c r="C443" s="724"/>
      <c r="D443" s="724"/>
      <c r="E443" s="724"/>
      <c r="F443" s="725"/>
      <c r="H443" s="723" t="s">
        <v>27</v>
      </c>
      <c r="I443" s="724"/>
      <c r="J443" s="724"/>
      <c r="K443" s="724"/>
      <c r="L443" s="724"/>
      <c r="M443" s="725"/>
      <c r="O443" s="723" t="s">
        <v>27</v>
      </c>
      <c r="P443" s="724"/>
      <c r="Q443" s="724"/>
      <c r="R443" s="724"/>
      <c r="S443" s="724"/>
      <c r="T443" s="725"/>
      <c r="V443" s="723" t="s">
        <v>27</v>
      </c>
      <c r="W443" s="724"/>
      <c r="X443" s="724"/>
      <c r="Y443" s="724"/>
      <c r="Z443" s="724"/>
      <c r="AA443" s="725"/>
      <c r="AC443" s="389" t="s">
        <v>1</v>
      </c>
      <c r="AD443" s="390" t="s">
        <v>2</v>
      </c>
      <c r="AE443" s="389" t="s">
        <v>3</v>
      </c>
      <c r="AF443" s="389" t="s">
        <v>9</v>
      </c>
      <c r="AG443" s="389" t="s">
        <v>10</v>
      </c>
      <c r="AH443" s="389" t="s">
        <v>11</v>
      </c>
      <c r="AJ443" s="389" t="s">
        <v>1</v>
      </c>
      <c r="AK443" s="390" t="s">
        <v>2</v>
      </c>
      <c r="AL443" s="389" t="s">
        <v>3</v>
      </c>
      <c r="AM443" s="389" t="s">
        <v>9</v>
      </c>
      <c r="AN443" s="389" t="s">
        <v>10</v>
      </c>
      <c r="AO443" s="389" t="s">
        <v>11</v>
      </c>
      <c r="AQ443" s="389" t="s">
        <v>1</v>
      </c>
      <c r="AR443" s="390" t="s">
        <v>2</v>
      </c>
      <c r="AS443" s="389" t="s">
        <v>3</v>
      </c>
      <c r="AT443" s="389" t="s">
        <v>9</v>
      </c>
      <c r="AU443" s="389" t="s">
        <v>10</v>
      </c>
      <c r="AV443" s="389" t="s">
        <v>11</v>
      </c>
      <c r="AX443" s="389" t="s">
        <v>1</v>
      </c>
      <c r="AY443" s="390" t="s">
        <v>2</v>
      </c>
      <c r="AZ443" s="389" t="s">
        <v>3</v>
      </c>
      <c r="BA443" s="389" t="s">
        <v>9</v>
      </c>
      <c r="BB443" s="389" t="s">
        <v>10</v>
      </c>
      <c r="BC443" s="389" t="s">
        <v>11</v>
      </c>
      <c r="BE443" s="389" t="s">
        <v>1</v>
      </c>
      <c r="BF443" s="390" t="s">
        <v>2</v>
      </c>
      <c r="BG443" s="389" t="s">
        <v>3</v>
      </c>
      <c r="BH443" s="389" t="s">
        <v>9</v>
      </c>
      <c r="BI443" s="389" t="s">
        <v>10</v>
      </c>
      <c r="BJ443" s="389" t="s">
        <v>11</v>
      </c>
      <c r="BL443" s="389" t="s">
        <v>1</v>
      </c>
      <c r="BM443" s="390" t="s">
        <v>2</v>
      </c>
      <c r="BN443" s="389" t="s">
        <v>3</v>
      </c>
      <c r="BO443" s="389" t="s">
        <v>9</v>
      </c>
      <c r="BP443" s="389" t="s">
        <v>10</v>
      </c>
      <c r="BQ443" s="389" t="s">
        <v>11</v>
      </c>
      <c r="BS443" s="723" t="s">
        <v>27</v>
      </c>
      <c r="BT443" s="724"/>
      <c r="BU443" s="724"/>
      <c r="BV443" s="724"/>
      <c r="BW443" s="724"/>
      <c r="BX443" s="725"/>
      <c r="BZ443" s="723" t="s">
        <v>27</v>
      </c>
      <c r="CA443" s="724"/>
      <c r="CB443" s="724"/>
      <c r="CC443" s="724"/>
      <c r="CD443" s="724"/>
      <c r="CE443" s="725"/>
    </row>
    <row r="444" spans="1:83" ht="15" customHeight="1" thickBot="1">
      <c r="A444" s="8" t="s">
        <v>1</v>
      </c>
      <c r="B444" s="5" t="s">
        <v>2</v>
      </c>
      <c r="C444" s="8" t="s">
        <v>3</v>
      </c>
      <c r="D444" s="8" t="s">
        <v>9</v>
      </c>
      <c r="E444" s="8" t="s">
        <v>10</v>
      </c>
      <c r="F444" s="8" t="s">
        <v>11</v>
      </c>
      <c r="H444" s="8" t="s">
        <v>1</v>
      </c>
      <c r="I444" s="5" t="s">
        <v>2</v>
      </c>
      <c r="J444" s="8" t="s">
        <v>3</v>
      </c>
      <c r="K444" s="8" t="s">
        <v>9</v>
      </c>
      <c r="L444" s="8" t="s">
        <v>10</v>
      </c>
      <c r="M444" s="8" t="s">
        <v>11</v>
      </c>
      <c r="O444" s="8" t="s">
        <v>1</v>
      </c>
      <c r="P444" s="5" t="s">
        <v>2</v>
      </c>
      <c r="Q444" s="8" t="s">
        <v>3</v>
      </c>
      <c r="R444" s="8" t="s">
        <v>9</v>
      </c>
      <c r="S444" s="8" t="s">
        <v>10</v>
      </c>
      <c r="T444" s="8" t="s">
        <v>11</v>
      </c>
      <c r="V444" s="8" t="s">
        <v>1</v>
      </c>
      <c r="W444" s="5" t="s">
        <v>2</v>
      </c>
      <c r="X444" s="8" t="s">
        <v>3</v>
      </c>
      <c r="Y444" s="8" t="s">
        <v>9</v>
      </c>
      <c r="Z444" s="8" t="s">
        <v>10</v>
      </c>
      <c r="AA444" s="8" t="s">
        <v>11</v>
      </c>
      <c r="AC444" s="403" t="s">
        <v>28</v>
      </c>
      <c r="AD444" s="402" t="s">
        <v>29</v>
      </c>
      <c r="AE444" s="403" t="s">
        <v>25</v>
      </c>
      <c r="AF444" s="391">
        <v>0.02</v>
      </c>
      <c r="AG444" s="393">
        <f>AH435</f>
        <v>98.685187585034001</v>
      </c>
      <c r="AH444" s="393">
        <f>AF444*AG444</f>
        <v>1.9737037517006801</v>
      </c>
      <c r="AJ444" s="403" t="s">
        <v>28</v>
      </c>
      <c r="AK444" s="402" t="s">
        <v>29</v>
      </c>
      <c r="AL444" s="403" t="s">
        <v>25</v>
      </c>
      <c r="AM444" s="391">
        <v>0.02</v>
      </c>
      <c r="AN444" s="393">
        <f>AO435</f>
        <v>98.685187585034001</v>
      </c>
      <c r="AO444" s="393">
        <f>AM444*AN444</f>
        <v>1.9737037517006801</v>
      </c>
      <c r="AQ444" s="403" t="s">
        <v>28</v>
      </c>
      <c r="AR444" s="402" t="s">
        <v>29</v>
      </c>
      <c r="AS444" s="403" t="s">
        <v>25</v>
      </c>
      <c r="AT444" s="391">
        <v>0.02</v>
      </c>
      <c r="AU444" s="393">
        <f>AV435</f>
        <v>98.685187585034001</v>
      </c>
      <c r="AV444" s="393">
        <f>AT444*AU444</f>
        <v>1.9737037517006801</v>
      </c>
      <c r="AX444" s="403" t="s">
        <v>28</v>
      </c>
      <c r="AY444" s="402" t="s">
        <v>29</v>
      </c>
      <c r="AZ444" s="403" t="s">
        <v>25</v>
      </c>
      <c r="BA444" s="391">
        <v>0.02</v>
      </c>
      <c r="BB444" s="393">
        <f>BC435</f>
        <v>98.685187585034001</v>
      </c>
      <c r="BC444" s="393">
        <f>BA444*BB444</f>
        <v>1.9737037517006801</v>
      </c>
      <c r="BE444" s="403" t="s">
        <v>28</v>
      </c>
      <c r="BF444" s="402" t="s">
        <v>29</v>
      </c>
      <c r="BG444" s="403" t="s">
        <v>25</v>
      </c>
      <c r="BH444" s="391">
        <v>0.02</v>
      </c>
      <c r="BI444" s="393">
        <f>BJ435</f>
        <v>98.685187585034001</v>
      </c>
      <c r="BJ444" s="393">
        <f>BH444*BI444</f>
        <v>1.9737037517006801</v>
      </c>
      <c r="BL444" s="403" t="s">
        <v>28</v>
      </c>
      <c r="BM444" s="402" t="s">
        <v>29</v>
      </c>
      <c r="BN444" s="403" t="s">
        <v>25</v>
      </c>
      <c r="BO444" s="391">
        <v>0.02</v>
      </c>
      <c r="BP444" s="393">
        <f>BQ435</f>
        <v>98.685187585034001</v>
      </c>
      <c r="BQ444" s="393">
        <f>BO444*BP444</f>
        <v>1.9737037517006801</v>
      </c>
      <c r="BS444" s="8" t="s">
        <v>1</v>
      </c>
      <c r="BT444" s="5" t="s">
        <v>2</v>
      </c>
      <c r="BU444" s="8" t="s">
        <v>3</v>
      </c>
      <c r="BV444" s="8" t="s">
        <v>9</v>
      </c>
      <c r="BW444" s="8" t="s">
        <v>10</v>
      </c>
      <c r="BX444" s="8" t="s">
        <v>11</v>
      </c>
      <c r="BZ444" s="8" t="s">
        <v>1</v>
      </c>
      <c r="CA444" s="5" t="s">
        <v>2</v>
      </c>
      <c r="CB444" s="8" t="s">
        <v>3</v>
      </c>
      <c r="CC444" s="8" t="s">
        <v>9</v>
      </c>
      <c r="CD444" s="8" t="s">
        <v>10</v>
      </c>
      <c r="CE444" s="8" t="s">
        <v>11</v>
      </c>
    </row>
    <row r="445" spans="1:83" ht="15" customHeight="1" thickBot="1">
      <c r="A445" s="236" t="s">
        <v>28</v>
      </c>
      <c r="B445" s="237" t="s">
        <v>29</v>
      </c>
      <c r="C445" s="236" t="s">
        <v>25</v>
      </c>
      <c r="D445" s="238">
        <v>0.02</v>
      </c>
      <c r="E445" s="239">
        <f>F435</f>
        <v>128.94864511111109</v>
      </c>
      <c r="F445" s="240">
        <f>(D445*E445)</f>
        <v>2.5789729022222221</v>
      </c>
      <c r="H445" s="9" t="s">
        <v>28</v>
      </c>
      <c r="I445" s="10" t="s">
        <v>29</v>
      </c>
      <c r="J445" s="9" t="s">
        <v>25</v>
      </c>
      <c r="K445" s="11">
        <v>0.02</v>
      </c>
      <c r="L445" s="13">
        <f>M435</f>
        <v>96.711483833333318</v>
      </c>
      <c r="M445" s="13">
        <f>(K445*L445)</f>
        <v>1.9342296766666665</v>
      </c>
      <c r="O445" s="236" t="s">
        <v>28</v>
      </c>
      <c r="P445" s="237" t="s">
        <v>29</v>
      </c>
      <c r="Q445" s="236" t="s">
        <v>25</v>
      </c>
      <c r="R445" s="238">
        <v>0.02</v>
      </c>
      <c r="S445" s="239">
        <f>T435</f>
        <v>128.94864511111109</v>
      </c>
      <c r="T445" s="240">
        <f>(R445*S445)</f>
        <v>2.5789729022222221</v>
      </c>
      <c r="V445" s="236" t="s">
        <v>28</v>
      </c>
      <c r="W445" s="237" t="s">
        <v>29</v>
      </c>
      <c r="X445" s="236" t="s">
        <v>25</v>
      </c>
      <c r="Y445" s="238">
        <v>0.02</v>
      </c>
      <c r="Z445" s="239">
        <f>AA435</f>
        <v>128.94864511111109</v>
      </c>
      <c r="AA445" s="240">
        <f>(Y445*Z445)</f>
        <v>2.5789729022222221</v>
      </c>
      <c r="AC445" s="410" t="s">
        <v>32</v>
      </c>
      <c r="AD445" s="411" t="s">
        <v>33</v>
      </c>
      <c r="AE445" s="451" t="s">
        <v>888</v>
      </c>
      <c r="AF445" s="412">
        <f>1/3</f>
        <v>0.33333333333333331</v>
      </c>
      <c r="AG445" s="399">
        <f>'ANÁLISIS DE COSTO HORARIO'!C95</f>
        <v>78.062650003496501</v>
      </c>
      <c r="AH445" s="399">
        <f>AF445*AG445</f>
        <v>26.020883334498834</v>
      </c>
      <c r="AJ445" s="410" t="s">
        <v>32</v>
      </c>
      <c r="AK445" s="411" t="s">
        <v>33</v>
      </c>
      <c r="AL445" s="451" t="s">
        <v>888</v>
      </c>
      <c r="AM445" s="412">
        <f>1/3</f>
        <v>0.33333333333333331</v>
      </c>
      <c r="AN445" s="399">
        <f>'ANÁLISIS DE COSTO HORARIO'!C95</f>
        <v>78.062650003496501</v>
      </c>
      <c r="AO445" s="399">
        <f>AM445*AN445</f>
        <v>26.020883334498834</v>
      </c>
      <c r="AQ445" s="410" t="s">
        <v>32</v>
      </c>
      <c r="AR445" s="411" t="s">
        <v>33</v>
      </c>
      <c r="AS445" s="451" t="s">
        <v>888</v>
      </c>
      <c r="AT445" s="412">
        <f>1/3</f>
        <v>0.33333333333333331</v>
      </c>
      <c r="AU445" s="399">
        <f>'ANÁLISIS DE COSTO HORARIO'!C95</f>
        <v>78.062650003496501</v>
      </c>
      <c r="AV445" s="399">
        <f>AT445*AU445</f>
        <v>26.020883334498834</v>
      </c>
      <c r="AX445" s="410" t="s">
        <v>32</v>
      </c>
      <c r="AY445" s="411" t="s">
        <v>33</v>
      </c>
      <c r="AZ445" s="451" t="s">
        <v>888</v>
      </c>
      <c r="BA445" s="412">
        <f>1/3</f>
        <v>0.33333333333333331</v>
      </c>
      <c r="BB445" s="399">
        <f>'ANÁLISIS DE COSTO HORARIO'!C95</f>
        <v>78.062650003496501</v>
      </c>
      <c r="BC445" s="399">
        <f>BA445*BB445</f>
        <v>26.020883334498834</v>
      </c>
      <c r="BE445" s="410" t="s">
        <v>32</v>
      </c>
      <c r="BF445" s="411" t="s">
        <v>33</v>
      </c>
      <c r="BG445" s="451" t="s">
        <v>888</v>
      </c>
      <c r="BH445" s="412">
        <f>1/3</f>
        <v>0.33333333333333331</v>
      </c>
      <c r="BI445" s="399">
        <f>'ANÁLISIS DE COSTO HORARIO'!C95</f>
        <v>78.062650003496501</v>
      </c>
      <c r="BJ445" s="399">
        <f>BH445*BI445</f>
        <v>26.020883334498834</v>
      </c>
      <c r="BL445" s="410" t="s">
        <v>32</v>
      </c>
      <c r="BM445" s="411" t="s">
        <v>33</v>
      </c>
      <c r="BN445" s="451" t="s">
        <v>888</v>
      </c>
      <c r="BO445" s="412">
        <f>1/3</f>
        <v>0.33333333333333331</v>
      </c>
      <c r="BP445" s="399">
        <f>'ANÁLISIS DE COSTO HORARIO'!C95</f>
        <v>78.062650003496501</v>
      </c>
      <c r="BQ445" s="399">
        <f>BO445*BP445</f>
        <v>26.020883334498834</v>
      </c>
      <c r="BS445" s="9" t="s">
        <v>28</v>
      </c>
      <c r="BT445" s="10" t="s">
        <v>29</v>
      </c>
      <c r="BU445" s="9" t="s">
        <v>25</v>
      </c>
      <c r="BV445" s="11">
        <v>0.02</v>
      </c>
      <c r="BW445" s="13">
        <f>BX435</f>
        <v>96.711483833333318</v>
      </c>
      <c r="BX445" s="13">
        <f>(BV445*BW445)</f>
        <v>1.9342296766666665</v>
      </c>
      <c r="BZ445" s="236" t="s">
        <v>28</v>
      </c>
      <c r="CA445" s="237" t="s">
        <v>29</v>
      </c>
      <c r="CB445" s="236" t="s">
        <v>25</v>
      </c>
      <c r="CC445" s="238">
        <v>0.02</v>
      </c>
      <c r="CD445" s="239">
        <f>CE435</f>
        <v>128.94864511111109</v>
      </c>
      <c r="CE445" s="240">
        <f>(CC445*CD445)</f>
        <v>2.5789729022222221</v>
      </c>
    </row>
    <row r="446" spans="1:83" ht="15" customHeight="1" thickBot="1">
      <c r="A446" s="441" t="s">
        <v>32</v>
      </c>
      <c r="B446" s="247" t="s">
        <v>33</v>
      </c>
      <c r="C446" s="246" t="s">
        <v>31</v>
      </c>
      <c r="D446" s="248">
        <f>1/3</f>
        <v>0.33333333333333331</v>
      </c>
      <c r="E446" s="249">
        <f>'ANÁLISIS DE COSTO HORARIO'!C95</f>
        <v>78.062650003496501</v>
      </c>
      <c r="F446" s="250">
        <f>D446*E446</f>
        <v>26.020883334498834</v>
      </c>
      <c r="H446" s="21"/>
      <c r="I446" s="22"/>
      <c r="J446" s="21"/>
      <c r="K446" s="21"/>
      <c r="L446" s="20"/>
      <c r="M446" s="20"/>
      <c r="O446" s="236" t="s">
        <v>32</v>
      </c>
      <c r="P446" s="247" t="s">
        <v>33</v>
      </c>
      <c r="Q446" s="246" t="s">
        <v>31</v>
      </c>
      <c r="R446" s="248">
        <f>1/3</f>
        <v>0.33333333333333331</v>
      </c>
      <c r="S446" s="249">
        <f>'ANÁLISIS DE COSTO HORARIO'!C95</f>
        <v>78.062650003496501</v>
      </c>
      <c r="T446" s="250">
        <f>R446*S446</f>
        <v>26.020883334498834</v>
      </c>
      <c r="V446" s="441" t="s">
        <v>32</v>
      </c>
      <c r="W446" s="247" t="s">
        <v>33</v>
      </c>
      <c r="X446" s="246" t="s">
        <v>31</v>
      </c>
      <c r="Y446" s="248">
        <f>1/3</f>
        <v>0.33333333333333331</v>
      </c>
      <c r="Z446" s="249">
        <f>'ANÁLISIS DE COSTO HORARIO'!C95</f>
        <v>78.062650003496501</v>
      </c>
      <c r="AA446" s="250">
        <f>Y446*Z446</f>
        <v>26.020883334498834</v>
      </c>
      <c r="AC446" s="726" t="s">
        <v>34</v>
      </c>
      <c r="AD446" s="727"/>
      <c r="AE446" s="727"/>
      <c r="AF446" s="727"/>
      <c r="AG446" s="728"/>
      <c r="AH446" s="41">
        <f>SUM(AH444:AH445)</f>
        <v>27.994587086199513</v>
      </c>
      <c r="AJ446" s="726" t="s">
        <v>34</v>
      </c>
      <c r="AK446" s="727"/>
      <c r="AL446" s="727"/>
      <c r="AM446" s="727"/>
      <c r="AN446" s="728"/>
      <c r="AO446" s="41">
        <f>SUM(AO444:AO445)</f>
        <v>27.994587086199513</v>
      </c>
      <c r="AQ446" s="726" t="s">
        <v>34</v>
      </c>
      <c r="AR446" s="727"/>
      <c r="AS446" s="727"/>
      <c r="AT446" s="727"/>
      <c r="AU446" s="728"/>
      <c r="AV446" s="41">
        <f>SUM(AV444:AV445)</f>
        <v>27.994587086199513</v>
      </c>
      <c r="AX446" s="726" t="s">
        <v>34</v>
      </c>
      <c r="AY446" s="727"/>
      <c r="AZ446" s="727"/>
      <c r="BA446" s="727"/>
      <c r="BB446" s="728"/>
      <c r="BC446" s="41">
        <f>SUM(BC444:BC445)</f>
        <v>27.994587086199513</v>
      </c>
      <c r="BE446" s="726" t="s">
        <v>34</v>
      </c>
      <c r="BF446" s="727"/>
      <c r="BG446" s="727"/>
      <c r="BH446" s="727"/>
      <c r="BI446" s="728"/>
      <c r="BJ446" s="41">
        <f>SUM(BJ444:BJ445)</f>
        <v>27.994587086199513</v>
      </c>
      <c r="BL446" s="726" t="s">
        <v>34</v>
      </c>
      <c r="BM446" s="727"/>
      <c r="BN446" s="727"/>
      <c r="BO446" s="727"/>
      <c r="BP446" s="728"/>
      <c r="BQ446" s="41">
        <f>SUM(BQ444:BQ445)</f>
        <v>27.994587086199513</v>
      </c>
      <c r="BS446" s="21"/>
      <c r="BT446" s="22"/>
      <c r="BU446" s="21"/>
      <c r="BV446" s="21"/>
      <c r="BW446" s="20"/>
      <c r="BX446" s="20"/>
      <c r="BZ446" s="441" t="s">
        <v>32</v>
      </c>
      <c r="CA446" s="247" t="s">
        <v>33</v>
      </c>
      <c r="CB446" s="246" t="s">
        <v>31</v>
      </c>
      <c r="CC446" s="248">
        <f>1/3</f>
        <v>0.33333333333333331</v>
      </c>
      <c r="CD446" s="249">
        <f>'ANÁLISIS DE COSTO HORARIO'!C95</f>
        <v>78.062650003496501</v>
      </c>
      <c r="CE446" s="250">
        <f>CC446*CD446</f>
        <v>26.020883334498834</v>
      </c>
    </row>
    <row r="447" spans="1:83" ht="15" customHeight="1" thickBot="1">
      <c r="A447" s="136"/>
      <c r="B447" s="241"/>
      <c r="C447" s="242"/>
      <c r="D447" s="243"/>
      <c r="E447" s="244"/>
      <c r="F447" s="245"/>
      <c r="H447" s="23"/>
      <c r="I447" s="24"/>
      <c r="J447" s="23"/>
      <c r="K447" s="23"/>
      <c r="L447" s="25"/>
      <c r="M447" s="25"/>
      <c r="O447" s="236"/>
      <c r="P447" s="241"/>
      <c r="Q447" s="242"/>
      <c r="R447" s="243"/>
      <c r="S447" s="244"/>
      <c r="T447" s="245"/>
      <c r="V447" s="136"/>
      <c r="W447" s="241"/>
      <c r="X447" s="242"/>
      <c r="Y447" s="243"/>
      <c r="Z447" s="244"/>
      <c r="AA447" s="245"/>
      <c r="AC447" s="729" t="s">
        <v>35</v>
      </c>
      <c r="AD447" s="730"/>
      <c r="AE447" s="730"/>
      <c r="AF447" s="730"/>
      <c r="AG447" s="730"/>
      <c r="AH447" s="731"/>
      <c r="AJ447" s="729" t="s">
        <v>35</v>
      </c>
      <c r="AK447" s="730"/>
      <c r="AL447" s="730"/>
      <c r="AM447" s="730"/>
      <c r="AN447" s="730"/>
      <c r="AO447" s="731"/>
      <c r="AQ447" s="729" t="s">
        <v>35</v>
      </c>
      <c r="AR447" s="730"/>
      <c r="AS447" s="730"/>
      <c r="AT447" s="730"/>
      <c r="AU447" s="730"/>
      <c r="AV447" s="731"/>
      <c r="AX447" s="729" t="s">
        <v>35</v>
      </c>
      <c r="AY447" s="730"/>
      <c r="AZ447" s="730"/>
      <c r="BA447" s="730"/>
      <c r="BB447" s="730"/>
      <c r="BC447" s="731"/>
      <c r="BE447" s="729" t="s">
        <v>35</v>
      </c>
      <c r="BF447" s="730"/>
      <c r="BG447" s="730"/>
      <c r="BH447" s="730"/>
      <c r="BI447" s="730"/>
      <c r="BJ447" s="731"/>
      <c r="BL447" s="729" t="s">
        <v>35</v>
      </c>
      <c r="BM447" s="730"/>
      <c r="BN447" s="730"/>
      <c r="BO447" s="730"/>
      <c r="BP447" s="730"/>
      <c r="BQ447" s="731"/>
      <c r="BS447" s="23"/>
      <c r="BT447" s="24"/>
      <c r="BU447" s="23"/>
      <c r="BV447" s="23"/>
      <c r="BW447" s="25"/>
      <c r="BX447" s="25"/>
      <c r="BZ447" s="136"/>
      <c r="CA447" s="241"/>
      <c r="CB447" s="242"/>
      <c r="CC447" s="243"/>
      <c r="CD447" s="244"/>
      <c r="CE447" s="245"/>
    </row>
    <row r="448" spans="1:83" ht="15" customHeight="1" thickBot="1">
      <c r="A448" s="726" t="s">
        <v>34</v>
      </c>
      <c r="B448" s="727"/>
      <c r="C448" s="727"/>
      <c r="D448" s="727"/>
      <c r="E448" s="728"/>
      <c r="F448" s="41">
        <f>SUM(F445:F447)</f>
        <v>28.599856236721056</v>
      </c>
      <c r="H448" s="726" t="s">
        <v>34</v>
      </c>
      <c r="I448" s="727"/>
      <c r="J448" s="727"/>
      <c r="K448" s="727"/>
      <c r="L448" s="728"/>
      <c r="M448" s="41">
        <f>SUM(M445:M447)</f>
        <v>1.9342296766666665</v>
      </c>
      <c r="O448" s="726" t="s">
        <v>34</v>
      </c>
      <c r="P448" s="727"/>
      <c r="Q448" s="727"/>
      <c r="R448" s="727"/>
      <c r="S448" s="728"/>
      <c r="T448" s="41">
        <f>SUM(T445:T447)</f>
        <v>28.599856236721056</v>
      </c>
      <c r="V448" s="726" t="s">
        <v>34</v>
      </c>
      <c r="W448" s="727"/>
      <c r="X448" s="727"/>
      <c r="Y448" s="727"/>
      <c r="Z448" s="728"/>
      <c r="AA448" s="41">
        <f>SUM(AA445:AA447)</f>
        <v>28.599856236721056</v>
      </c>
      <c r="AC448" s="389" t="s">
        <v>1</v>
      </c>
      <c r="AD448" s="390" t="s">
        <v>2</v>
      </c>
      <c r="AE448" s="389" t="s">
        <v>3</v>
      </c>
      <c r="AF448" s="389" t="s">
        <v>9</v>
      </c>
      <c r="AG448" s="389" t="s">
        <v>10</v>
      </c>
      <c r="AH448" s="389" t="s">
        <v>11</v>
      </c>
      <c r="AJ448" s="389" t="s">
        <v>1</v>
      </c>
      <c r="AK448" s="390" t="s">
        <v>2</v>
      </c>
      <c r="AL448" s="389" t="s">
        <v>3</v>
      </c>
      <c r="AM448" s="389" t="s">
        <v>9</v>
      </c>
      <c r="AN448" s="389" t="s">
        <v>10</v>
      </c>
      <c r="AO448" s="389" t="s">
        <v>11</v>
      </c>
      <c r="AQ448" s="389" t="s">
        <v>1</v>
      </c>
      <c r="AR448" s="390" t="s">
        <v>2</v>
      </c>
      <c r="AS448" s="389" t="s">
        <v>3</v>
      </c>
      <c r="AT448" s="389" t="s">
        <v>9</v>
      </c>
      <c r="AU448" s="389" t="s">
        <v>10</v>
      </c>
      <c r="AV448" s="389" t="s">
        <v>11</v>
      </c>
      <c r="AX448" s="389" t="s">
        <v>1</v>
      </c>
      <c r="AY448" s="390" t="s">
        <v>2</v>
      </c>
      <c r="AZ448" s="389" t="s">
        <v>3</v>
      </c>
      <c r="BA448" s="389" t="s">
        <v>9</v>
      </c>
      <c r="BB448" s="389" t="s">
        <v>10</v>
      </c>
      <c r="BC448" s="389" t="s">
        <v>11</v>
      </c>
      <c r="BE448" s="389" t="s">
        <v>1</v>
      </c>
      <c r="BF448" s="390" t="s">
        <v>2</v>
      </c>
      <c r="BG448" s="389" t="s">
        <v>3</v>
      </c>
      <c r="BH448" s="389" t="s">
        <v>9</v>
      </c>
      <c r="BI448" s="389" t="s">
        <v>10</v>
      </c>
      <c r="BJ448" s="389" t="s">
        <v>11</v>
      </c>
      <c r="BL448" s="389" t="s">
        <v>1</v>
      </c>
      <c r="BM448" s="390" t="s">
        <v>2</v>
      </c>
      <c r="BN448" s="389" t="s">
        <v>3</v>
      </c>
      <c r="BO448" s="389" t="s">
        <v>9</v>
      </c>
      <c r="BP448" s="389" t="s">
        <v>10</v>
      </c>
      <c r="BQ448" s="389" t="s">
        <v>11</v>
      </c>
      <c r="BS448" s="726" t="s">
        <v>34</v>
      </c>
      <c r="BT448" s="727"/>
      <c r="BU448" s="727"/>
      <c r="BV448" s="727"/>
      <c r="BW448" s="728"/>
      <c r="BX448" s="41">
        <f>SUM(BX445:BX447)</f>
        <v>1.9342296766666665</v>
      </c>
      <c r="BZ448" s="726" t="s">
        <v>34</v>
      </c>
      <c r="CA448" s="727"/>
      <c r="CB448" s="727"/>
      <c r="CC448" s="727"/>
      <c r="CD448" s="728"/>
      <c r="CE448" s="41">
        <f>SUM(CE445:CE447)</f>
        <v>28.599856236721056</v>
      </c>
    </row>
    <row r="449" spans="1:256" ht="15" customHeight="1" thickBot="1">
      <c r="A449" s="729" t="s">
        <v>35</v>
      </c>
      <c r="B449" s="730"/>
      <c r="C449" s="730"/>
      <c r="D449" s="730"/>
      <c r="E449" s="730"/>
      <c r="F449" s="731"/>
      <c r="H449" s="729" t="s">
        <v>35</v>
      </c>
      <c r="I449" s="730"/>
      <c r="J449" s="730"/>
      <c r="K449" s="730"/>
      <c r="L449" s="730"/>
      <c r="M449" s="731"/>
      <c r="O449" s="729" t="s">
        <v>35</v>
      </c>
      <c r="P449" s="730"/>
      <c r="Q449" s="730"/>
      <c r="R449" s="730"/>
      <c r="S449" s="730"/>
      <c r="T449" s="731"/>
      <c r="V449" s="729" t="s">
        <v>35</v>
      </c>
      <c r="W449" s="730"/>
      <c r="X449" s="730"/>
      <c r="Y449" s="730"/>
      <c r="Z449" s="730"/>
      <c r="AA449" s="731"/>
      <c r="AC449" s="512" t="s">
        <v>176</v>
      </c>
      <c r="AD449" s="513" t="s">
        <v>1267</v>
      </c>
      <c r="AE449" s="403" t="s">
        <v>17</v>
      </c>
      <c r="AF449" s="413">
        <f>(0.25*0.25*1)*(1.05)</f>
        <v>6.5625000000000003E-2</v>
      </c>
      <c r="AG449" s="414">
        <f>AUXILIARES!BJ85</f>
        <v>2058.9166030320198</v>
      </c>
      <c r="AH449" s="393">
        <f>AF449*AG449</f>
        <v>135.1164020739763</v>
      </c>
      <c r="AJ449" s="512" t="s">
        <v>176</v>
      </c>
      <c r="AK449" s="513" t="s">
        <v>1267</v>
      </c>
      <c r="AL449" s="403" t="s">
        <v>17</v>
      </c>
      <c r="AM449" s="413">
        <f>(0.25*0.2*1)*(1.05)</f>
        <v>5.2500000000000005E-2</v>
      </c>
      <c r="AN449" s="414">
        <f>AUXILIARES!BJ85</f>
        <v>2058.9166030320198</v>
      </c>
      <c r="AO449" s="393">
        <f>AM449*AN449</f>
        <v>108.09312165918105</v>
      </c>
      <c r="AQ449" s="512" t="s">
        <v>176</v>
      </c>
      <c r="AR449" s="513" t="s">
        <v>1267</v>
      </c>
      <c r="AS449" s="403" t="s">
        <v>17</v>
      </c>
      <c r="AT449" s="413">
        <f>(0.15*0.2*1)*(1.05)</f>
        <v>3.15E-2</v>
      </c>
      <c r="AU449" s="414">
        <f>AUXILIARES!BJ85</f>
        <v>2058.9166030320198</v>
      </c>
      <c r="AV449" s="393">
        <f>AT449*AU449</f>
        <v>64.855872995508619</v>
      </c>
      <c r="AX449" s="512" t="s">
        <v>176</v>
      </c>
      <c r="AY449" s="513" t="s">
        <v>1267</v>
      </c>
      <c r="AZ449" s="403" t="s">
        <v>17</v>
      </c>
      <c r="BA449" s="413">
        <f>(0.15*0.2*1)*(1.05)</f>
        <v>3.15E-2</v>
      </c>
      <c r="BB449" s="414">
        <f>AUXILIARES!BJ85</f>
        <v>2058.9166030320198</v>
      </c>
      <c r="BC449" s="393">
        <f>BA449*BB449</f>
        <v>64.855872995508619</v>
      </c>
      <c r="BE449" s="512" t="s">
        <v>176</v>
      </c>
      <c r="BF449" s="513" t="s">
        <v>1267</v>
      </c>
      <c r="BG449" s="403" t="s">
        <v>17</v>
      </c>
      <c r="BH449" s="413">
        <f>(0.15*0.2*1)*(1.05)</f>
        <v>3.15E-2</v>
      </c>
      <c r="BI449" s="414">
        <f>AUXILIARES!BJ85</f>
        <v>2058.9166030320198</v>
      </c>
      <c r="BJ449" s="393">
        <f>BH449*BI449</f>
        <v>64.855872995508619</v>
      </c>
      <c r="BL449" s="512" t="s">
        <v>150</v>
      </c>
      <c r="BM449" s="513" t="s">
        <v>1315</v>
      </c>
      <c r="BN449" s="597" t="s">
        <v>42</v>
      </c>
      <c r="BO449" s="413">
        <f>(1*1*0.03)*(1.05)</f>
        <v>3.15E-2</v>
      </c>
      <c r="BP449" s="414">
        <f>AUXILIARES!M74</f>
        <v>1341.54</v>
      </c>
      <c r="BQ449" s="393">
        <f>BO449*BP449</f>
        <v>42.258510000000001</v>
      </c>
      <c r="BS449" s="729" t="s">
        <v>35</v>
      </c>
      <c r="BT449" s="730"/>
      <c r="BU449" s="730"/>
      <c r="BV449" s="730"/>
      <c r="BW449" s="730"/>
      <c r="BX449" s="731"/>
      <c r="BZ449" s="729" t="s">
        <v>35</v>
      </c>
      <c r="CA449" s="730"/>
      <c r="CB449" s="730"/>
      <c r="CC449" s="730"/>
      <c r="CD449" s="730"/>
      <c r="CE449" s="731"/>
    </row>
    <row r="450" spans="1:256" ht="15" customHeight="1" thickBot="1">
      <c r="A450" s="8" t="s">
        <v>1</v>
      </c>
      <c r="B450" s="5" t="s">
        <v>2</v>
      </c>
      <c r="C450" s="8" t="s">
        <v>3</v>
      </c>
      <c r="D450" s="8" t="s">
        <v>9</v>
      </c>
      <c r="E450" s="8" t="s">
        <v>10</v>
      </c>
      <c r="F450" s="8" t="s">
        <v>11</v>
      </c>
      <c r="H450" s="8" t="s">
        <v>1</v>
      </c>
      <c r="I450" s="5" t="s">
        <v>2</v>
      </c>
      <c r="J450" s="8" t="s">
        <v>3</v>
      </c>
      <c r="K450" s="8" t="s">
        <v>9</v>
      </c>
      <c r="L450" s="8" t="s">
        <v>10</v>
      </c>
      <c r="M450" s="8" t="s">
        <v>11</v>
      </c>
      <c r="O450" s="8" t="s">
        <v>1</v>
      </c>
      <c r="P450" s="5" t="s">
        <v>2</v>
      </c>
      <c r="Q450" s="8" t="s">
        <v>3</v>
      </c>
      <c r="R450" s="8" t="s">
        <v>9</v>
      </c>
      <c r="S450" s="8" t="s">
        <v>10</v>
      </c>
      <c r="T450" s="8" t="s">
        <v>11</v>
      </c>
      <c r="V450" s="8" t="s">
        <v>1</v>
      </c>
      <c r="W450" s="5" t="s">
        <v>2</v>
      </c>
      <c r="X450" s="8" t="s">
        <v>3</v>
      </c>
      <c r="Y450" s="8" t="s">
        <v>9</v>
      </c>
      <c r="Z450" s="8" t="s">
        <v>10</v>
      </c>
      <c r="AA450" s="8" t="s">
        <v>11</v>
      </c>
      <c r="AC450" s="517" t="s">
        <v>736</v>
      </c>
      <c r="AD450" s="514" t="s">
        <v>1281</v>
      </c>
      <c r="AE450" s="415" t="s">
        <v>39</v>
      </c>
      <c r="AF450" s="415">
        <f>((1+0.15+0.15)*4)*1.57*1.03</f>
        <v>8.4089200000000002</v>
      </c>
      <c r="AG450" s="417">
        <f>AUXILIARES!AA94</f>
        <v>26.876776875454542</v>
      </c>
      <c r="AH450" s="396">
        <f>AF450*AG450</f>
        <v>226.00466660354721</v>
      </c>
      <c r="AJ450" s="517" t="s">
        <v>736</v>
      </c>
      <c r="AK450" s="514" t="s">
        <v>1281</v>
      </c>
      <c r="AL450" s="415" t="s">
        <v>39</v>
      </c>
      <c r="AM450" s="415">
        <f>((1+0.15+0.15)*4)*1.57*1.03</f>
        <v>8.4089200000000002</v>
      </c>
      <c r="AN450" s="417">
        <f>AUXILIARES!AA94</f>
        <v>26.876776875454542</v>
      </c>
      <c r="AO450" s="396">
        <f>AM450*AN450</f>
        <v>226.00466660354721</v>
      </c>
      <c r="AQ450" s="517" t="s">
        <v>731</v>
      </c>
      <c r="AR450" s="514" t="s">
        <v>849</v>
      </c>
      <c r="AS450" s="415" t="s">
        <v>39</v>
      </c>
      <c r="AT450" s="415">
        <f>((1+0.15+0.15)*4)*1*1.03</f>
        <v>5.355999999999999</v>
      </c>
      <c r="AU450" s="417">
        <f>AUXILIARES!M94</f>
        <v>20.615358962999998</v>
      </c>
      <c r="AV450" s="396">
        <f>AT450*AU450</f>
        <v>110.41586260582797</v>
      </c>
      <c r="AX450" s="517" t="s">
        <v>731</v>
      </c>
      <c r="AY450" s="514" t="s">
        <v>849</v>
      </c>
      <c r="AZ450" s="415" t="s">
        <v>39</v>
      </c>
      <c r="BA450" s="415">
        <f>((1+0.15+0.15)*4)*1*1.03</f>
        <v>5.355999999999999</v>
      </c>
      <c r="BB450" s="417">
        <f>AUXILIARES!M94</f>
        <v>20.615358962999998</v>
      </c>
      <c r="BC450" s="396">
        <f>BA450*BB450</f>
        <v>110.41586260582797</v>
      </c>
      <c r="BE450" s="517" t="s">
        <v>731</v>
      </c>
      <c r="BF450" s="514" t="s">
        <v>849</v>
      </c>
      <c r="BG450" s="415" t="s">
        <v>39</v>
      </c>
      <c r="BH450" s="415">
        <f>((1+0.15+0.15)*4)*1*1.03</f>
        <v>5.355999999999999</v>
      </c>
      <c r="BI450" s="417">
        <f>AUXILIARES!M94</f>
        <v>20.615358962999998</v>
      </c>
      <c r="BJ450" s="396">
        <f>BH450*BI450</f>
        <v>110.41586260582797</v>
      </c>
      <c r="BL450" s="518"/>
      <c r="BM450" s="516"/>
      <c r="BN450" s="418"/>
      <c r="BO450" s="607"/>
      <c r="BP450" s="608"/>
      <c r="BQ450" s="422"/>
      <c r="BS450" s="8" t="s">
        <v>1</v>
      </c>
      <c r="BT450" s="5" t="s">
        <v>2</v>
      </c>
      <c r="BU450" s="8" t="s">
        <v>3</v>
      </c>
      <c r="BV450" s="8" t="s">
        <v>9</v>
      </c>
      <c r="BW450" s="8" t="s">
        <v>10</v>
      </c>
      <c r="BX450" s="8" t="s">
        <v>11</v>
      </c>
      <c r="BZ450" s="8" t="s">
        <v>1</v>
      </c>
      <c r="CA450" s="5" t="s">
        <v>2</v>
      </c>
      <c r="CB450" s="8" t="s">
        <v>3</v>
      </c>
      <c r="CC450" s="8" t="s">
        <v>9</v>
      </c>
      <c r="CD450" s="8" t="s">
        <v>10</v>
      </c>
      <c r="CE450" s="8" t="s">
        <v>11</v>
      </c>
    </row>
    <row r="451" spans="1:256" ht="15" customHeight="1" thickBot="1">
      <c r="A451" s="463" t="s">
        <v>358</v>
      </c>
      <c r="B451" s="10" t="s">
        <v>1131</v>
      </c>
      <c r="C451" s="9" t="s">
        <v>39</v>
      </c>
      <c r="D451" s="11">
        <f>1*1.05</f>
        <v>1.05</v>
      </c>
      <c r="E451" s="12">
        <f>MATERIALES!E28</f>
        <v>23.2759</v>
      </c>
      <c r="F451" s="13">
        <f>D451*E451</f>
        <v>24.439695</v>
      </c>
      <c r="H451" s="463" t="s">
        <v>71</v>
      </c>
      <c r="I451" s="10" t="s">
        <v>36</v>
      </c>
      <c r="J451" s="9" t="s">
        <v>17</v>
      </c>
      <c r="K451" s="11">
        <f>OPERACIONES!D18</f>
        <v>3.1752000000000002E-2</v>
      </c>
      <c r="L451" s="12">
        <f>AUXILIARES!F7</f>
        <v>1479.9599999999998</v>
      </c>
      <c r="M451" s="13">
        <f>(K451*L451)</f>
        <v>46.991689919999999</v>
      </c>
      <c r="O451" s="9" t="s">
        <v>358</v>
      </c>
      <c r="P451" s="10" t="s">
        <v>902</v>
      </c>
      <c r="Q451" s="9" t="s">
        <v>42</v>
      </c>
      <c r="R451" s="526">
        <f>1*1.05</f>
        <v>1.05</v>
      </c>
      <c r="S451" s="12">
        <f>MATERIALES!E28</f>
        <v>23.2759</v>
      </c>
      <c r="T451" s="13">
        <f>R451*S451</f>
        <v>24.439695</v>
      </c>
      <c r="V451" s="463" t="s">
        <v>201</v>
      </c>
      <c r="W451" s="10" t="s">
        <v>38</v>
      </c>
      <c r="X451" s="9" t="s">
        <v>39</v>
      </c>
      <c r="Y451" s="11">
        <f>OPERACIONES!F24</f>
        <v>8.8769519999999993</v>
      </c>
      <c r="Z451" s="12">
        <f>AUXILIARES!F94</f>
        <v>28.427000875454546</v>
      </c>
      <c r="AA451" s="13">
        <f>Y451*Z451</f>
        <v>252.34512227536797</v>
      </c>
      <c r="AC451" s="518" t="s">
        <v>736</v>
      </c>
      <c r="AD451" s="515" t="s">
        <v>1282</v>
      </c>
      <c r="AE451" s="418" t="s">
        <v>39</v>
      </c>
      <c r="AF451" s="420">
        <f>((0.25+0.25+0.25+0.25+0.1+0.1)*9)*1.57*1.03</f>
        <v>17.464680000000005</v>
      </c>
      <c r="AG451" s="421">
        <f>AUXILIARES!AA94</f>
        <v>26.876776875454542</v>
      </c>
      <c r="AH451" s="422">
        <f>AF451*AG451</f>
        <v>469.39430756121357</v>
      </c>
      <c r="AJ451" s="518" t="s">
        <v>201</v>
      </c>
      <c r="AK451" s="515" t="s">
        <v>850</v>
      </c>
      <c r="AL451" s="418" t="s">
        <v>39</v>
      </c>
      <c r="AM451" s="420">
        <f>((0.25+0.2+0.25+0.2+0.1+0.1)*9)*0.57*1.03</f>
        <v>5.8122899999999991</v>
      </c>
      <c r="AN451" s="421">
        <f>AUXILIARES!F94</f>
        <v>28.427000875454546</v>
      </c>
      <c r="AO451" s="422">
        <f>AM451*AN451</f>
        <v>165.22597291839568</v>
      </c>
      <c r="AQ451" s="518" t="s">
        <v>731</v>
      </c>
      <c r="AR451" s="515" t="s">
        <v>1263</v>
      </c>
      <c r="AS451" s="418" t="s">
        <v>39</v>
      </c>
      <c r="AT451" s="420">
        <f>((0.15+0.2+0.15+0.2+0.1+0.1)*7)*1*1.03</f>
        <v>6.488999999999999</v>
      </c>
      <c r="AU451" s="421">
        <f>AUXILIARES!M94</f>
        <v>20.615358962999998</v>
      </c>
      <c r="AV451" s="422">
        <f>AT451*AU451</f>
        <v>133.77306431090696</v>
      </c>
      <c r="AX451" s="518" t="s">
        <v>731</v>
      </c>
      <c r="AY451" s="515" t="s">
        <v>1263</v>
      </c>
      <c r="AZ451" s="418" t="s">
        <v>39</v>
      </c>
      <c r="BA451" s="420">
        <f>((0.15+0.2+0.15+0.2+0.1+0.1)*7)*1*1.03</f>
        <v>6.488999999999999</v>
      </c>
      <c r="BB451" s="421">
        <f>AUXILIARES!M94</f>
        <v>20.615358962999998</v>
      </c>
      <c r="BC451" s="422">
        <f>BA451*BB451</f>
        <v>133.77306431090696</v>
      </c>
      <c r="BE451" s="518" t="s">
        <v>731</v>
      </c>
      <c r="BF451" s="515" t="s">
        <v>1263</v>
      </c>
      <c r="BG451" s="418" t="s">
        <v>39</v>
      </c>
      <c r="BH451" s="420">
        <f>((0.15+0.2+0.15+0.2+0.1+0.1)*7)*1*1.03</f>
        <v>6.488999999999999</v>
      </c>
      <c r="BI451" s="421">
        <f>AUXILIARES!M94</f>
        <v>20.615358962999998</v>
      </c>
      <c r="BJ451" s="422">
        <f>BH451*BI451</f>
        <v>133.77306431090696</v>
      </c>
      <c r="BL451" s="609"/>
      <c r="BM451" s="602"/>
      <c r="BN451" s="610"/>
      <c r="BO451" s="611"/>
      <c r="BP451" s="612"/>
      <c r="BQ451" s="613"/>
      <c r="BS451" s="463" t="s">
        <v>71</v>
      </c>
      <c r="BT451" s="10" t="s">
        <v>36</v>
      </c>
      <c r="BU451" s="9" t="s">
        <v>17</v>
      </c>
      <c r="BV451" s="11">
        <f>OPERACIONES!D18</f>
        <v>3.1752000000000002E-2</v>
      </c>
      <c r="BW451" s="12">
        <f>AUXILIARES!F7</f>
        <v>1479.9599999999998</v>
      </c>
      <c r="BX451" s="13">
        <f>(BV451*BW451)</f>
        <v>46.991689919999999</v>
      </c>
      <c r="BZ451" s="519" t="s">
        <v>207</v>
      </c>
      <c r="CA451" s="522" t="s">
        <v>1133</v>
      </c>
      <c r="CB451" s="31" t="s">
        <v>42</v>
      </c>
      <c r="CC451" s="48">
        <v>1</v>
      </c>
      <c r="CD451" s="34">
        <f>AUXILIARES!F108</f>
        <v>499.51866179072772</v>
      </c>
      <c r="CE451" s="25">
        <f>CC451*CD451</f>
        <v>499.51866179072772</v>
      </c>
    </row>
    <row r="452" spans="1:256" ht="15" customHeight="1" thickBot="1">
      <c r="A452" s="466" t="s">
        <v>160</v>
      </c>
      <c r="B452" s="17" t="s">
        <v>1132</v>
      </c>
      <c r="C452" s="16" t="s">
        <v>17</v>
      </c>
      <c r="D452" s="18">
        <f>(1*1*0.1)*1.05</f>
        <v>0.10500000000000001</v>
      </c>
      <c r="E452" s="19">
        <f>AUXILIARES!F85</f>
        <v>1816.1866030320202</v>
      </c>
      <c r="F452" s="20">
        <f>D452*E452</f>
        <v>190.69959331836213</v>
      </c>
      <c r="H452" s="42"/>
      <c r="I452" s="43"/>
      <c r="J452" s="42"/>
      <c r="K452" s="42"/>
      <c r="L452" s="42"/>
      <c r="M452" s="20"/>
      <c r="O452" s="586" t="s">
        <v>1135</v>
      </c>
      <c r="P452" s="587" t="s">
        <v>903</v>
      </c>
      <c r="Q452" s="588" t="s">
        <v>17</v>
      </c>
      <c r="R452" s="589">
        <v>5.2499999999999998E-2</v>
      </c>
      <c r="S452" s="590">
        <f>AUXILIARES!CL85</f>
        <v>2361.2216030320201</v>
      </c>
      <c r="T452" s="485">
        <f>R452*S452</f>
        <v>123.96413415918104</v>
      </c>
      <c r="V452" s="466" t="s">
        <v>176</v>
      </c>
      <c r="W452" s="17" t="s">
        <v>40</v>
      </c>
      <c r="X452" s="16" t="s">
        <v>17</v>
      </c>
      <c r="Y452" s="18">
        <f>(1*1*0.1)*1.05</f>
        <v>0.10500000000000001</v>
      </c>
      <c r="Z452" s="19">
        <f>AUXILIARES!BJ85</f>
        <v>2058.9166030320198</v>
      </c>
      <c r="AA452" s="20">
        <f>Y452*Z452</f>
        <v>216.1862433183621</v>
      </c>
      <c r="AC452" s="518" t="s">
        <v>1271</v>
      </c>
      <c r="AD452" s="516" t="s">
        <v>1274</v>
      </c>
      <c r="AE452" s="418" t="s">
        <v>42</v>
      </c>
      <c r="AF452" s="607">
        <f>((1*0.25)*2)+(1*0.25)</f>
        <v>0.75</v>
      </c>
      <c r="AG452" s="608">
        <f>AUXILIARES!AP124</f>
        <v>514.43234672754841</v>
      </c>
      <c r="AH452" s="422">
        <f>AF452*AG452</f>
        <v>385.82426004566128</v>
      </c>
      <c r="AJ452" s="518" t="s">
        <v>1275</v>
      </c>
      <c r="AK452" s="516" t="s">
        <v>1273</v>
      </c>
      <c r="AL452" s="418" t="s">
        <v>42</v>
      </c>
      <c r="AM452" s="607">
        <f>((1*0.25)*2)+(1*0.2)</f>
        <v>0.7</v>
      </c>
      <c r="AN452" s="608">
        <f>AUXILIARES!BH124</f>
        <v>514.43234672754841</v>
      </c>
      <c r="AO452" s="422">
        <f>AM452*AN452</f>
        <v>360.10264270928388</v>
      </c>
      <c r="AQ452" s="518" t="s">
        <v>1125</v>
      </c>
      <c r="AR452" s="516" t="s">
        <v>1260</v>
      </c>
      <c r="AS452" s="418" t="s">
        <v>42</v>
      </c>
      <c r="AT452" s="607">
        <f>((1*0.15)*2)+(1*0.2)</f>
        <v>0.5</v>
      </c>
      <c r="AU452" s="608">
        <f>AUXILIARES!X124</f>
        <v>500.52846058374013</v>
      </c>
      <c r="AV452" s="422">
        <f>AT452*AU452</f>
        <v>250.26423029187006</v>
      </c>
      <c r="AX452" s="518" t="s">
        <v>1283</v>
      </c>
      <c r="AY452" s="516" t="s">
        <v>1286</v>
      </c>
      <c r="AZ452" s="418" t="s">
        <v>42</v>
      </c>
      <c r="BA452" s="607">
        <f>((1*0.15)*2)+(1*0.2)</f>
        <v>0.5</v>
      </c>
      <c r="BB452" s="608">
        <f>AUXILIARES!BZ124</f>
        <v>547.87574030427186</v>
      </c>
      <c r="BC452" s="422">
        <f>BA452*BB452</f>
        <v>273.93787015213593</v>
      </c>
      <c r="BE452" s="451" t="s">
        <v>201</v>
      </c>
      <c r="BF452" s="516" t="s">
        <v>1287</v>
      </c>
      <c r="BG452" s="451" t="s">
        <v>39</v>
      </c>
      <c r="BH452" s="415">
        <f>((1+0.15+0.15)*4)*1*1.03</f>
        <v>5.355999999999999</v>
      </c>
      <c r="BI452" s="424">
        <f>AUXILIARES!F94</f>
        <v>28.427000875454546</v>
      </c>
      <c r="BJ452" s="399">
        <f>BH452*BI452</f>
        <v>152.25501668893452</v>
      </c>
      <c r="BL452" s="609"/>
      <c r="BM452" s="614"/>
      <c r="BN452" s="609"/>
      <c r="BO452" s="610"/>
      <c r="BP452" s="615"/>
      <c r="BQ452" s="613"/>
      <c r="BS452" s="517" t="s">
        <v>731</v>
      </c>
      <c r="BT452" s="514" t="s">
        <v>849</v>
      </c>
      <c r="BU452" s="415" t="s">
        <v>39</v>
      </c>
      <c r="BV452" s="415">
        <f>((1+0.15+0.15)*4)*1*1.03</f>
        <v>5.355999999999999</v>
      </c>
      <c r="BW452" s="417">
        <f>MATERIALES!E179</f>
        <v>7.76</v>
      </c>
      <c r="BX452" s="396">
        <f>BV452*BW452</f>
        <v>41.562559999999991</v>
      </c>
      <c r="BZ452" s="466" t="s">
        <v>160</v>
      </c>
      <c r="CA452" s="587" t="s">
        <v>1132</v>
      </c>
      <c r="CB452" s="588" t="s">
        <v>17</v>
      </c>
      <c r="CC452" s="589">
        <f>(1*1*0.05)*1.05</f>
        <v>5.2500000000000005E-2</v>
      </c>
      <c r="CD452" s="590">
        <f>AUXILIARES!AH85</f>
        <v>2028.3566030320198</v>
      </c>
      <c r="CE452" s="485">
        <f>CC452*CD452</f>
        <v>106.48872165918105</v>
      </c>
    </row>
    <row r="453" spans="1:256" ht="15" customHeight="1">
      <c r="A453" s="586" t="s">
        <v>207</v>
      </c>
      <c r="B453" s="617" t="s">
        <v>1133</v>
      </c>
      <c r="C453" s="588" t="s">
        <v>42</v>
      </c>
      <c r="D453" s="589">
        <v>1</v>
      </c>
      <c r="E453" s="590">
        <f>AUXILIARES!F108</f>
        <v>499.51866179072772</v>
      </c>
      <c r="F453" s="485">
        <f>D453*E453</f>
        <v>499.51866179072772</v>
      </c>
      <c r="G453" s="228"/>
      <c r="H453" s="591"/>
      <c r="I453" s="592"/>
      <c r="J453" s="591"/>
      <c r="K453" s="591"/>
      <c r="L453" s="591"/>
      <c r="M453" s="485"/>
      <c r="N453" s="228"/>
      <c r="O453" s="441"/>
      <c r="P453" s="247"/>
      <c r="Q453" s="246"/>
      <c r="R453" s="606"/>
      <c r="S453" s="249"/>
      <c r="T453" s="250"/>
      <c r="U453" s="228"/>
      <c r="V453" s="586" t="s">
        <v>207</v>
      </c>
      <c r="W453" s="587" t="s">
        <v>41</v>
      </c>
      <c r="X453" s="588" t="s">
        <v>42</v>
      </c>
      <c r="Y453" s="589">
        <v>1</v>
      </c>
      <c r="Z453" s="590">
        <f>AUXILIARES!F108</f>
        <v>499.51866179072772</v>
      </c>
      <c r="AA453" s="485">
        <f>Y453*Z453</f>
        <v>499.51866179072772</v>
      </c>
      <c r="AB453" s="228"/>
      <c r="AC453" s="609"/>
      <c r="AD453" s="614"/>
      <c r="AE453" s="610"/>
      <c r="AF453" s="616"/>
      <c r="AG453" s="615"/>
      <c r="AH453" s="613"/>
      <c r="AI453" s="228"/>
      <c r="AJ453" s="609"/>
      <c r="AK453" s="614"/>
      <c r="AL453" s="610"/>
      <c r="AM453" s="616"/>
      <c r="AN453" s="615"/>
      <c r="AO453" s="613"/>
      <c r="AP453" s="228"/>
      <c r="AQ453" s="609"/>
      <c r="AR453" s="614"/>
      <c r="AS453" s="610"/>
      <c r="AT453" s="616"/>
      <c r="AU453" s="615"/>
      <c r="AV453" s="613"/>
      <c r="AW453" s="228"/>
      <c r="AX453" s="609"/>
      <c r="AY453" s="614"/>
      <c r="AZ453" s="610"/>
      <c r="BA453" s="616"/>
      <c r="BB453" s="615"/>
      <c r="BC453" s="613"/>
      <c r="BD453" s="228"/>
      <c r="BE453" s="518" t="s">
        <v>1283</v>
      </c>
      <c r="BF453" s="516" t="s">
        <v>1286</v>
      </c>
      <c r="BG453" s="418" t="s">
        <v>42</v>
      </c>
      <c r="BH453" s="607">
        <f>((1*0.15)*2)+(1*0.2)</f>
        <v>0.5</v>
      </c>
      <c r="BI453" s="608">
        <f>AUXILIARES!BZ124</f>
        <v>547.87574030427186</v>
      </c>
      <c r="BJ453" s="422">
        <f>BH453*BI453</f>
        <v>273.93787015213593</v>
      </c>
      <c r="BK453" s="228"/>
      <c r="BL453" s="609"/>
      <c r="BM453" s="614"/>
      <c r="BN453" s="610"/>
      <c r="BO453" s="616"/>
      <c r="BP453" s="615"/>
      <c r="BQ453" s="613"/>
      <c r="BR453" s="228"/>
      <c r="BS453" s="518" t="s">
        <v>731</v>
      </c>
      <c r="BT453" s="515" t="s">
        <v>1263</v>
      </c>
      <c r="BU453" s="418" t="s">
        <v>39</v>
      </c>
      <c r="BV453" s="420">
        <f>((0.15+0.2+0.15+0.2+0.1+0.1)*7)*1*1.03</f>
        <v>6.488999999999999</v>
      </c>
      <c r="BW453" s="421">
        <f>MATERIALES!E179</f>
        <v>7.76</v>
      </c>
      <c r="BX453" s="422">
        <f>BV453*BW453</f>
        <v>50.354639999999989</v>
      </c>
      <c r="BY453" s="228"/>
      <c r="BZ453" s="604"/>
      <c r="CA453" s="247"/>
      <c r="CB453" s="246"/>
      <c r="CC453" s="606"/>
      <c r="CD453" s="249"/>
      <c r="CE453" s="250"/>
      <c r="CF453" s="228"/>
      <c r="CG453" s="228"/>
      <c r="CH453" s="228"/>
      <c r="CI453" s="228"/>
      <c r="CJ453" s="228"/>
      <c r="CK453" s="228"/>
      <c r="CL453" s="228"/>
      <c r="CM453" s="228"/>
      <c r="CN453" s="228"/>
      <c r="CO453" s="228"/>
      <c r="CP453" s="228"/>
      <c r="CQ453" s="228"/>
      <c r="CR453" s="228"/>
      <c r="CS453" s="228"/>
      <c r="CT453" s="228"/>
      <c r="CU453" s="228"/>
      <c r="CV453" s="228"/>
      <c r="CW453" s="228"/>
      <c r="CX453" s="228"/>
      <c r="CY453" s="228"/>
      <c r="CZ453" s="228"/>
      <c r="DA453" s="228"/>
      <c r="DB453" s="228"/>
      <c r="DC453" s="228"/>
      <c r="DD453" s="228"/>
      <c r="DE453" s="228"/>
      <c r="DF453" s="228"/>
      <c r="DG453" s="228"/>
      <c r="DH453" s="228"/>
      <c r="DI453" s="228"/>
      <c r="DJ453" s="228"/>
      <c r="DK453" s="228"/>
      <c r="DL453" s="228"/>
      <c r="DM453" s="228"/>
      <c r="DN453" s="228"/>
      <c r="DO453" s="228"/>
      <c r="DP453" s="228"/>
      <c r="DQ453" s="228"/>
      <c r="DR453" s="228"/>
      <c r="DS453" s="228"/>
      <c r="DT453" s="228"/>
      <c r="DU453" s="228"/>
      <c r="DV453" s="228"/>
      <c r="DW453" s="228"/>
      <c r="DX453" s="228"/>
      <c r="DY453" s="228"/>
      <c r="DZ453" s="228"/>
      <c r="EA453" s="228"/>
      <c r="EB453" s="228"/>
      <c r="EC453" s="228"/>
      <c r="ED453" s="228"/>
      <c r="EE453" s="228"/>
      <c r="EF453" s="228"/>
      <c r="EG453" s="228"/>
      <c r="EH453" s="228"/>
      <c r="EI453" s="228"/>
      <c r="EJ453" s="228"/>
      <c r="EK453" s="228"/>
      <c r="EL453" s="228"/>
      <c r="EM453" s="228"/>
      <c r="EN453" s="228"/>
      <c r="EO453" s="228"/>
      <c r="EP453" s="228"/>
      <c r="EQ453" s="228"/>
      <c r="ER453" s="228"/>
      <c r="ES453" s="228"/>
      <c r="ET453" s="228"/>
      <c r="EU453" s="228"/>
      <c r="EV453" s="228"/>
      <c r="EW453" s="228"/>
      <c r="EX453" s="228"/>
      <c r="EY453" s="228"/>
      <c r="EZ453" s="228"/>
      <c r="FA453" s="228"/>
      <c r="FB453" s="228"/>
      <c r="FC453" s="228"/>
      <c r="FD453" s="228"/>
      <c r="FE453" s="228"/>
      <c r="FF453" s="228"/>
      <c r="FG453" s="228"/>
      <c r="FH453" s="228"/>
      <c r="FI453" s="228"/>
      <c r="FJ453" s="228"/>
      <c r="FK453" s="228"/>
      <c r="FL453" s="228"/>
      <c r="FM453" s="228"/>
      <c r="FN453" s="228"/>
      <c r="FO453" s="228"/>
      <c r="FP453" s="228"/>
      <c r="FQ453" s="228"/>
      <c r="FR453" s="228"/>
      <c r="FS453" s="228"/>
      <c r="FT453" s="228"/>
      <c r="FU453" s="228"/>
      <c r="FV453" s="228"/>
      <c r="FW453" s="228"/>
      <c r="FX453" s="228"/>
      <c r="FY453" s="228"/>
      <c r="FZ453" s="228"/>
      <c r="GA453" s="228"/>
      <c r="GB453" s="228"/>
      <c r="GC453" s="228"/>
      <c r="GD453" s="228"/>
      <c r="GE453" s="228"/>
      <c r="GF453" s="228"/>
      <c r="GG453" s="228"/>
      <c r="GH453" s="228"/>
      <c r="GI453" s="228"/>
      <c r="GJ453" s="228"/>
      <c r="GK453" s="228"/>
      <c r="GL453" s="228"/>
      <c r="GM453" s="228"/>
      <c r="GN453" s="228"/>
      <c r="GO453" s="228"/>
      <c r="GP453" s="228"/>
      <c r="GQ453" s="228"/>
      <c r="GR453" s="228"/>
      <c r="GS453" s="228"/>
      <c r="GT453" s="228"/>
      <c r="GU453" s="228"/>
      <c r="GV453" s="228"/>
      <c r="GW453" s="228"/>
      <c r="GX453" s="228"/>
      <c r="GY453" s="228"/>
      <c r="GZ453" s="228"/>
      <c r="HA453" s="228"/>
      <c r="HB453" s="228"/>
      <c r="HC453" s="228"/>
      <c r="HD453" s="228"/>
      <c r="HE453" s="228"/>
      <c r="HF453" s="228"/>
      <c r="HG453" s="228"/>
      <c r="HH453" s="228"/>
      <c r="HI453" s="228"/>
      <c r="HJ453" s="228"/>
      <c r="HK453" s="228"/>
      <c r="HL453" s="228"/>
      <c r="HM453" s="228"/>
      <c r="HN453" s="228"/>
      <c r="HO453" s="228"/>
      <c r="HP453" s="228"/>
      <c r="HQ453" s="228"/>
      <c r="HR453" s="228"/>
      <c r="HS453" s="228"/>
      <c r="HT453" s="228"/>
      <c r="HU453" s="228"/>
      <c r="HV453" s="228"/>
      <c r="HW453" s="228"/>
      <c r="HX453" s="228"/>
      <c r="HY453" s="228"/>
      <c r="HZ453" s="228"/>
      <c r="IA453" s="228"/>
      <c r="IB453" s="228"/>
      <c r="IC453" s="228"/>
      <c r="ID453" s="228"/>
      <c r="IE453" s="228"/>
      <c r="IF453" s="228"/>
      <c r="IG453" s="228"/>
      <c r="IH453" s="228"/>
      <c r="II453" s="228"/>
      <c r="IJ453" s="228"/>
      <c r="IK453" s="228"/>
      <c r="IL453" s="228"/>
      <c r="IM453" s="228"/>
      <c r="IN453" s="228"/>
      <c r="IO453" s="228"/>
      <c r="IP453" s="228"/>
      <c r="IQ453" s="228"/>
      <c r="IR453" s="228"/>
      <c r="IS453" s="228"/>
      <c r="IT453" s="228"/>
      <c r="IU453" s="228"/>
      <c r="IV453" s="228"/>
    </row>
    <row r="454" spans="1:256" ht="15" customHeight="1">
      <c r="A454" s="441"/>
      <c r="B454" s="247"/>
      <c r="C454" s="246"/>
      <c r="D454" s="606"/>
      <c r="E454" s="249"/>
      <c r="F454" s="250"/>
      <c r="G454" s="228"/>
      <c r="H454" s="591"/>
      <c r="I454" s="592"/>
      <c r="J454" s="591"/>
      <c r="K454" s="591"/>
      <c r="L454" s="591"/>
      <c r="M454" s="485"/>
      <c r="N454" s="228"/>
      <c r="O454" s="441"/>
      <c r="P454" s="247"/>
      <c r="Q454" s="246"/>
      <c r="R454" s="606"/>
      <c r="S454" s="249"/>
      <c r="T454" s="250"/>
      <c r="U454" s="228"/>
      <c r="V454" s="441"/>
      <c r="W454" s="247"/>
      <c r="X454" s="246"/>
      <c r="Y454" s="606"/>
      <c r="Z454" s="249"/>
      <c r="AA454" s="250"/>
      <c r="AB454" s="228"/>
      <c r="AC454" s="609"/>
      <c r="AD454" s="614"/>
      <c r="AE454" s="610"/>
      <c r="AF454" s="616"/>
      <c r="AG454" s="615"/>
      <c r="AH454" s="613"/>
      <c r="AI454" s="228"/>
      <c r="AJ454" s="609"/>
      <c r="AK454" s="614"/>
      <c r="AL454" s="610"/>
      <c r="AM454" s="616"/>
      <c r="AN454" s="615"/>
      <c r="AO454" s="613"/>
      <c r="AP454" s="228"/>
      <c r="AQ454" s="609"/>
      <c r="AR454" s="614"/>
      <c r="AS454" s="610"/>
      <c r="AT454" s="616"/>
      <c r="AU454" s="615"/>
      <c r="AV454" s="613"/>
      <c r="AW454" s="228"/>
      <c r="AX454" s="609"/>
      <c r="AY454" s="614"/>
      <c r="AZ454" s="610"/>
      <c r="BA454" s="616"/>
      <c r="BB454" s="615"/>
      <c r="BC454" s="613"/>
      <c r="BD454" s="228"/>
      <c r="BE454" s="609"/>
      <c r="BF454" s="614"/>
      <c r="BG454" s="610"/>
      <c r="BH454" s="616"/>
      <c r="BI454" s="615"/>
      <c r="BJ454" s="613"/>
      <c r="BK454" s="228"/>
      <c r="BL454" s="609"/>
      <c r="BM454" s="614"/>
      <c r="BN454" s="610"/>
      <c r="BO454" s="616"/>
      <c r="BP454" s="615"/>
      <c r="BQ454" s="613"/>
      <c r="BR454" s="228"/>
      <c r="BS454" s="600" t="s">
        <v>168</v>
      </c>
      <c r="BT454" s="602" t="s">
        <v>1337</v>
      </c>
      <c r="BU454" s="603" t="s">
        <v>17</v>
      </c>
      <c r="BV454" s="420">
        <f>(1*1*0.05)*1.05</f>
        <v>5.2500000000000005E-2</v>
      </c>
      <c r="BW454" s="421">
        <f>AUXILIARES!AH85</f>
        <v>2028.3566030320198</v>
      </c>
      <c r="BX454" s="422">
        <f>BV454*BW454</f>
        <v>106.48872165918105</v>
      </c>
      <c r="BY454" s="228"/>
      <c r="BZ454" s="604"/>
      <c r="CA454" s="247"/>
      <c r="CB454" s="246"/>
      <c r="CC454" s="606"/>
      <c r="CD454" s="249"/>
      <c r="CE454" s="250"/>
      <c r="CF454" s="228"/>
      <c r="CG454" s="228"/>
      <c r="CH454" s="228"/>
      <c r="CI454" s="228"/>
      <c r="CJ454" s="228"/>
      <c r="CK454" s="228"/>
      <c r="CL454" s="228"/>
      <c r="CM454" s="228"/>
      <c r="CN454" s="228"/>
      <c r="CO454" s="228"/>
      <c r="CP454" s="228"/>
      <c r="CQ454" s="228"/>
      <c r="CR454" s="228"/>
      <c r="CS454" s="228"/>
      <c r="CT454" s="228"/>
      <c r="CU454" s="228"/>
      <c r="CV454" s="228"/>
      <c r="CW454" s="228"/>
      <c r="CX454" s="228"/>
      <c r="CY454" s="228"/>
      <c r="CZ454" s="228"/>
      <c r="DA454" s="228"/>
      <c r="DB454" s="228"/>
      <c r="DC454" s="228"/>
      <c r="DD454" s="228"/>
      <c r="DE454" s="228"/>
      <c r="DF454" s="228"/>
      <c r="DG454" s="228"/>
      <c r="DH454" s="228"/>
      <c r="DI454" s="228"/>
      <c r="DJ454" s="228"/>
      <c r="DK454" s="228"/>
      <c r="DL454" s="228"/>
      <c r="DM454" s="228"/>
      <c r="DN454" s="228"/>
      <c r="DO454" s="228"/>
      <c r="DP454" s="228"/>
      <c r="DQ454" s="228"/>
      <c r="DR454" s="228"/>
      <c r="DS454" s="228"/>
      <c r="DT454" s="228"/>
      <c r="DU454" s="228"/>
      <c r="DV454" s="228"/>
      <c r="DW454" s="228"/>
      <c r="DX454" s="228"/>
      <c r="DY454" s="228"/>
      <c r="DZ454" s="228"/>
      <c r="EA454" s="228"/>
      <c r="EB454" s="228"/>
      <c r="EC454" s="228"/>
      <c r="ED454" s="228"/>
      <c r="EE454" s="228"/>
      <c r="EF454" s="228"/>
      <c r="EG454" s="228"/>
      <c r="EH454" s="228"/>
      <c r="EI454" s="228"/>
      <c r="EJ454" s="228"/>
      <c r="EK454" s="228"/>
      <c r="EL454" s="228"/>
      <c r="EM454" s="228"/>
      <c r="EN454" s="228"/>
      <c r="EO454" s="228"/>
      <c r="EP454" s="228"/>
      <c r="EQ454" s="228"/>
      <c r="ER454" s="228"/>
      <c r="ES454" s="228"/>
      <c r="ET454" s="228"/>
      <c r="EU454" s="228"/>
      <c r="EV454" s="228"/>
      <c r="EW454" s="228"/>
      <c r="EX454" s="228"/>
      <c r="EY454" s="228"/>
      <c r="EZ454" s="228"/>
      <c r="FA454" s="228"/>
      <c r="FB454" s="228"/>
      <c r="FC454" s="228"/>
      <c r="FD454" s="228"/>
      <c r="FE454" s="228"/>
      <c r="FF454" s="228"/>
      <c r="FG454" s="228"/>
      <c r="FH454" s="228"/>
      <c r="FI454" s="228"/>
      <c r="FJ454" s="228"/>
      <c r="FK454" s="228"/>
      <c r="FL454" s="228"/>
      <c r="FM454" s="228"/>
      <c r="FN454" s="228"/>
      <c r="FO454" s="228"/>
      <c r="FP454" s="228"/>
      <c r="FQ454" s="228"/>
      <c r="FR454" s="228"/>
      <c r="FS454" s="228"/>
      <c r="FT454" s="228"/>
      <c r="FU454" s="228"/>
      <c r="FV454" s="228"/>
      <c r="FW454" s="228"/>
      <c r="FX454" s="228"/>
      <c r="FY454" s="228"/>
      <c r="FZ454" s="228"/>
      <c r="GA454" s="228"/>
      <c r="GB454" s="228"/>
      <c r="GC454" s="228"/>
      <c r="GD454" s="228"/>
      <c r="GE454" s="228"/>
      <c r="GF454" s="228"/>
      <c r="GG454" s="228"/>
      <c r="GH454" s="228"/>
      <c r="GI454" s="228"/>
      <c r="GJ454" s="228"/>
      <c r="GK454" s="228"/>
      <c r="GL454" s="228"/>
      <c r="GM454" s="228"/>
      <c r="GN454" s="228"/>
      <c r="GO454" s="228"/>
      <c r="GP454" s="228"/>
      <c r="GQ454" s="228"/>
      <c r="GR454" s="228"/>
      <c r="GS454" s="228"/>
      <c r="GT454" s="228"/>
      <c r="GU454" s="228"/>
      <c r="GV454" s="228"/>
      <c r="GW454" s="228"/>
      <c r="GX454" s="228"/>
      <c r="GY454" s="228"/>
      <c r="GZ454" s="228"/>
      <c r="HA454" s="228"/>
      <c r="HB454" s="228"/>
      <c r="HC454" s="228"/>
      <c r="HD454" s="228"/>
      <c r="HE454" s="228"/>
      <c r="HF454" s="228"/>
      <c r="HG454" s="228"/>
      <c r="HH454" s="228"/>
      <c r="HI454" s="228"/>
      <c r="HJ454" s="228"/>
      <c r="HK454" s="228"/>
      <c r="HL454" s="228"/>
      <c r="HM454" s="228"/>
      <c r="HN454" s="228"/>
      <c r="HO454" s="228"/>
      <c r="HP454" s="228"/>
      <c r="HQ454" s="228"/>
      <c r="HR454" s="228"/>
      <c r="HS454" s="228"/>
      <c r="HT454" s="228"/>
      <c r="HU454" s="228"/>
      <c r="HV454" s="228"/>
      <c r="HW454" s="228"/>
      <c r="HX454" s="228"/>
      <c r="HY454" s="228"/>
      <c r="HZ454" s="228"/>
      <c r="IA454" s="228"/>
      <c r="IB454" s="228"/>
      <c r="IC454" s="228"/>
      <c r="ID454" s="228"/>
      <c r="IE454" s="228"/>
      <c r="IF454" s="228"/>
      <c r="IG454" s="228"/>
      <c r="IH454" s="228"/>
      <c r="II454" s="228"/>
      <c r="IJ454" s="228"/>
      <c r="IK454" s="228"/>
      <c r="IL454" s="228"/>
      <c r="IM454" s="228"/>
      <c r="IN454" s="228"/>
      <c r="IO454" s="228"/>
      <c r="IP454" s="228"/>
      <c r="IQ454" s="228"/>
      <c r="IR454" s="228"/>
      <c r="IS454" s="228"/>
      <c r="IT454" s="228"/>
      <c r="IU454" s="228"/>
      <c r="IV454" s="228"/>
    </row>
    <row r="455" spans="1:256" ht="15" customHeight="1" thickBot="1">
      <c r="A455" s="439"/>
      <c r="B455" s="439"/>
      <c r="C455" s="439"/>
      <c r="D455" s="439"/>
      <c r="E455" s="439"/>
      <c r="F455" s="439"/>
      <c r="H455" s="45"/>
      <c r="I455" s="46"/>
      <c r="J455" s="45"/>
      <c r="K455" s="45"/>
      <c r="L455" s="45"/>
      <c r="M455" s="25"/>
      <c r="O455" s="764" t="s">
        <v>43</v>
      </c>
      <c r="P455" s="776"/>
      <c r="Q455" s="776"/>
      <c r="R455" s="776"/>
      <c r="S455" s="777"/>
      <c r="T455" s="605">
        <f>SUM(T451:T452)</f>
        <v>148.40382915918104</v>
      </c>
      <c r="V455" s="439"/>
      <c r="W455" s="439"/>
      <c r="X455" s="439"/>
      <c r="Y455" s="439"/>
      <c r="Z455" s="439"/>
      <c r="AA455" s="439"/>
      <c r="AC455" s="764" t="s">
        <v>43</v>
      </c>
      <c r="AD455" s="750"/>
      <c r="AE455" s="750"/>
      <c r="AF455" s="750"/>
      <c r="AG455" s="751"/>
      <c r="AH455" s="605">
        <f>SUM(AH449:AH452)</f>
        <v>1216.3396362843982</v>
      </c>
      <c r="AJ455" s="764" t="s">
        <v>43</v>
      </c>
      <c r="AK455" s="750"/>
      <c r="AL455" s="750"/>
      <c r="AM455" s="750"/>
      <c r="AN455" s="751"/>
      <c r="AO455" s="605">
        <f>SUM(AO449:AO452)</f>
        <v>859.42640389040776</v>
      </c>
      <c r="AQ455" s="764" t="s">
        <v>43</v>
      </c>
      <c r="AR455" s="750"/>
      <c r="AS455" s="750"/>
      <c r="AT455" s="750"/>
      <c r="AU455" s="751"/>
      <c r="AV455" s="605">
        <f>SUM(AV449:AV452)</f>
        <v>559.30903020411358</v>
      </c>
      <c r="AX455" s="764" t="s">
        <v>43</v>
      </c>
      <c r="AY455" s="750"/>
      <c r="AZ455" s="750"/>
      <c r="BA455" s="750"/>
      <c r="BB455" s="751"/>
      <c r="BC455" s="605">
        <f>SUM(BC449:BC452)</f>
        <v>582.98267006437948</v>
      </c>
      <c r="BE455" s="764" t="s">
        <v>43</v>
      </c>
      <c r="BF455" s="750"/>
      <c r="BG455" s="750"/>
      <c r="BH455" s="750"/>
      <c r="BI455" s="751"/>
      <c r="BJ455" s="605">
        <f>SUM(BJ449:BJ453)</f>
        <v>735.23768675331394</v>
      </c>
      <c r="BL455" s="764" t="s">
        <v>43</v>
      </c>
      <c r="BM455" s="750"/>
      <c r="BN455" s="750"/>
      <c r="BO455" s="750"/>
      <c r="BP455" s="751"/>
      <c r="BQ455" s="605">
        <f>SUM(BQ449:BQ453)</f>
        <v>42.258510000000001</v>
      </c>
      <c r="BS455" s="451" t="s">
        <v>1283</v>
      </c>
      <c r="BT455" s="601" t="s">
        <v>1286</v>
      </c>
      <c r="BU455" s="410" t="s">
        <v>42</v>
      </c>
      <c r="BV455" s="397">
        <f>((1*0.15)*2)+(1*0.2)</f>
        <v>0.5</v>
      </c>
      <c r="BW455" s="424">
        <f>AUXILIARES!BZ124</f>
        <v>547.87574030427186</v>
      </c>
      <c r="BX455" s="399">
        <f>BV455*BW455</f>
        <v>273.93787015213593</v>
      </c>
      <c r="BZ455" s="604"/>
      <c r="CA455" s="439"/>
      <c r="CB455" s="439"/>
      <c r="CC455" s="439"/>
      <c r="CD455" s="439"/>
      <c r="CE455" s="439"/>
    </row>
    <row r="456" spans="1:256" ht="15" customHeight="1" thickBot="1">
      <c r="A456" s="764" t="s">
        <v>43</v>
      </c>
      <c r="B456" s="750"/>
      <c r="C456" s="750"/>
      <c r="D456" s="750"/>
      <c r="E456" s="751"/>
      <c r="F456" s="605">
        <f>SUM(F451:F454)</f>
        <v>714.65795010908982</v>
      </c>
      <c r="H456" s="732" t="s">
        <v>43</v>
      </c>
      <c r="I456" s="746"/>
      <c r="J456" s="746"/>
      <c r="K456" s="746"/>
      <c r="L456" s="747"/>
      <c r="M456" s="49">
        <f>SUM(M451:M455)</f>
        <v>46.991689919999999</v>
      </c>
      <c r="O456" s="50"/>
      <c r="P456" s="51"/>
      <c r="Q456" s="52"/>
      <c r="R456" s="52"/>
      <c r="S456" s="52"/>
      <c r="T456" s="52"/>
      <c r="V456" s="764" t="s">
        <v>43</v>
      </c>
      <c r="W456" s="750"/>
      <c r="X456" s="750"/>
      <c r="Y456" s="750"/>
      <c r="Z456" s="751"/>
      <c r="AA456" s="605">
        <f>SUM(AA451:AA454)</f>
        <v>968.05002738445774</v>
      </c>
      <c r="AC456" s="425"/>
      <c r="AD456" s="426"/>
      <c r="AE456" s="427"/>
      <c r="AF456" s="427"/>
      <c r="AG456" s="427"/>
      <c r="AH456" s="427"/>
      <c r="AJ456" s="425"/>
      <c r="AK456" s="426"/>
      <c r="AL456" s="427"/>
      <c r="AM456" s="427"/>
      <c r="AN456" s="427"/>
      <c r="AO456" s="427"/>
      <c r="AQ456" s="425"/>
      <c r="AR456" s="426"/>
      <c r="AS456" s="427"/>
      <c r="AT456" s="427"/>
      <c r="AU456" s="427"/>
      <c r="AV456" s="427"/>
      <c r="AX456" s="425"/>
      <c r="AY456" s="426"/>
      <c r="AZ456" s="427"/>
      <c r="BA456" s="427"/>
      <c r="BB456" s="427"/>
      <c r="BC456" s="427"/>
      <c r="BE456" s="425"/>
      <c r="BF456" s="426"/>
      <c r="BG456" s="427"/>
      <c r="BH456" s="427"/>
      <c r="BI456" s="427"/>
      <c r="BJ456" s="427"/>
      <c r="BL456" s="425"/>
      <c r="BM456" s="426"/>
      <c r="BN456" s="427"/>
      <c r="BO456" s="427"/>
      <c r="BP456" s="427"/>
      <c r="BQ456" s="427"/>
      <c r="BS456" s="732" t="s">
        <v>43</v>
      </c>
      <c r="BT456" s="733"/>
      <c r="BU456" s="733"/>
      <c r="BV456" s="733"/>
      <c r="BW456" s="734"/>
      <c r="BX456" s="49">
        <f>SUM(BX451:BX455)</f>
        <v>519.33548173131703</v>
      </c>
      <c r="BZ456" s="732" t="s">
        <v>43</v>
      </c>
      <c r="CA456" s="750"/>
      <c r="CB456" s="750"/>
      <c r="CC456" s="750"/>
      <c r="CD456" s="751"/>
      <c r="CE456" s="605">
        <f>SUM(CE451:CE453)</f>
        <v>606.00738344990873</v>
      </c>
    </row>
    <row r="457" spans="1:256" ht="15" customHeight="1" thickBot="1">
      <c r="A457" s="50"/>
      <c r="B457" s="51"/>
      <c r="C457" s="52"/>
      <c r="D457" s="52"/>
      <c r="E457" s="52"/>
      <c r="F457" s="52"/>
      <c r="H457" s="50"/>
      <c r="I457" s="51"/>
      <c r="J457" s="52"/>
      <c r="K457" s="52"/>
      <c r="L457" s="52"/>
      <c r="M457" s="52"/>
      <c r="O457" s="735" t="s">
        <v>44</v>
      </c>
      <c r="P457" s="736"/>
      <c r="Q457" s="736"/>
      <c r="R457" s="736"/>
      <c r="S457" s="737"/>
      <c r="T457" s="54">
        <f>SUM(T455,T432,T438,T442,T448)</f>
        <v>540.73007557463222</v>
      </c>
      <c r="V457" s="50"/>
      <c r="W457" s="51"/>
      <c r="X457" s="52"/>
      <c r="Y457" s="52"/>
      <c r="Z457" s="52"/>
      <c r="AA457" s="52"/>
      <c r="AC457" s="765" t="s">
        <v>44</v>
      </c>
      <c r="AD457" s="766"/>
      <c r="AE457" s="766"/>
      <c r="AF457" s="766"/>
      <c r="AG457" s="767"/>
      <c r="AH457" s="400">
        <f>SUM(AH455,AH432,AH437,AH441,AH446)</f>
        <v>1345.9799665831829</v>
      </c>
      <c r="AJ457" s="765" t="s">
        <v>44</v>
      </c>
      <c r="AK457" s="766"/>
      <c r="AL457" s="766"/>
      <c r="AM457" s="766"/>
      <c r="AN457" s="767"/>
      <c r="AO457" s="400">
        <f>SUM(AO455,AO432,AO437,AO441,AO446)</f>
        <v>989.06673418919229</v>
      </c>
      <c r="AQ457" s="765" t="s">
        <v>44</v>
      </c>
      <c r="AR457" s="766"/>
      <c r="AS457" s="766"/>
      <c r="AT457" s="766"/>
      <c r="AU457" s="767"/>
      <c r="AV457" s="400">
        <f>SUM(AV455,AV432,AV437,AV441,AV446)</f>
        <v>688.94936050289812</v>
      </c>
      <c r="AX457" s="765" t="s">
        <v>44</v>
      </c>
      <c r="AY457" s="766"/>
      <c r="AZ457" s="766"/>
      <c r="BA457" s="766"/>
      <c r="BB457" s="767"/>
      <c r="BC457" s="400">
        <f>SUM(BC455,BC432,BC437,BC441,BC446)</f>
        <v>712.62300036316401</v>
      </c>
      <c r="BE457" s="765" t="s">
        <v>44</v>
      </c>
      <c r="BF457" s="766"/>
      <c r="BG457" s="766"/>
      <c r="BH457" s="766"/>
      <c r="BI457" s="767"/>
      <c r="BJ457" s="400">
        <f>SUM(BJ455,BJ432,BJ437,BJ441,BJ446)</f>
        <v>864.87801705209847</v>
      </c>
      <c r="BL457" s="765" t="s">
        <v>44</v>
      </c>
      <c r="BM457" s="766"/>
      <c r="BN457" s="766"/>
      <c r="BO457" s="766"/>
      <c r="BP457" s="767"/>
      <c r="BQ457" s="400">
        <f>SUM(BQ455,BQ432,BQ437,BQ441,BQ446)</f>
        <v>182.76109029878455</v>
      </c>
      <c r="BS457" s="50"/>
      <c r="BT457" s="51"/>
      <c r="BU457" s="52"/>
      <c r="BV457" s="52"/>
      <c r="BW457" s="52"/>
      <c r="BX457" s="52"/>
      <c r="BZ457" s="50"/>
      <c r="CA457" s="51"/>
      <c r="CB457" s="52"/>
      <c r="CC457" s="52"/>
      <c r="CD457" s="52"/>
      <c r="CE457" s="52"/>
    </row>
    <row r="458" spans="1:256" ht="15" customHeight="1" thickBot="1">
      <c r="A458" s="687" t="s">
        <v>44</v>
      </c>
      <c r="B458" s="748"/>
      <c r="C458" s="748"/>
      <c r="D458" s="748"/>
      <c r="E458" s="749"/>
      <c r="F458" s="54">
        <f>SUM(F456,F432,F438,F442,F448)</f>
        <v>876.07491081025535</v>
      </c>
      <c r="H458" s="687" t="s">
        <v>44</v>
      </c>
      <c r="I458" s="748"/>
      <c r="J458" s="748"/>
      <c r="K458" s="748"/>
      <c r="L458" s="749"/>
      <c r="M458" s="54">
        <f>SUM(M456,M432,M438,M442,M448)</f>
        <v>294.34874794500001</v>
      </c>
      <c r="O458" s="735" t="s">
        <v>45</v>
      </c>
      <c r="P458" s="736"/>
      <c r="Q458" s="736"/>
      <c r="R458" s="736"/>
      <c r="S458" s="737"/>
      <c r="T458" s="54"/>
      <c r="V458" s="687" t="s">
        <v>44</v>
      </c>
      <c r="W458" s="748"/>
      <c r="X458" s="748"/>
      <c r="Y458" s="748"/>
      <c r="Z458" s="749"/>
      <c r="AA458" s="54">
        <f>SUM(AA456,AA432,AA438,AA442,AA448)</f>
        <v>1129.4669880856231</v>
      </c>
      <c r="AC458" s="765" t="s">
        <v>45</v>
      </c>
      <c r="AD458" s="768"/>
      <c r="AE458" s="768"/>
      <c r="AF458" s="768"/>
      <c r="AG458" s="428"/>
      <c r="AH458" s="400"/>
      <c r="AJ458" s="765" t="s">
        <v>45</v>
      </c>
      <c r="AK458" s="768"/>
      <c r="AL458" s="768"/>
      <c r="AM458" s="768"/>
      <c r="AN458" s="428"/>
      <c r="AO458" s="400"/>
      <c r="AQ458" s="765" t="s">
        <v>45</v>
      </c>
      <c r="AR458" s="768"/>
      <c r="AS458" s="768"/>
      <c r="AT458" s="768"/>
      <c r="AU458" s="428"/>
      <c r="AV458" s="400"/>
      <c r="AX458" s="765" t="s">
        <v>45</v>
      </c>
      <c r="AY458" s="768"/>
      <c r="AZ458" s="768"/>
      <c r="BA458" s="768"/>
      <c r="BB458" s="428"/>
      <c r="BC458" s="400"/>
      <c r="BE458" s="765" t="s">
        <v>45</v>
      </c>
      <c r="BF458" s="768"/>
      <c r="BG458" s="768"/>
      <c r="BH458" s="768"/>
      <c r="BI458" s="428"/>
      <c r="BJ458" s="400"/>
      <c r="BL458" s="765" t="s">
        <v>45</v>
      </c>
      <c r="BM458" s="768"/>
      <c r="BN458" s="768"/>
      <c r="BO458" s="768"/>
      <c r="BP458" s="428"/>
      <c r="BQ458" s="400"/>
      <c r="BS458" s="687" t="s">
        <v>44</v>
      </c>
      <c r="BT458" s="748"/>
      <c r="BU458" s="748"/>
      <c r="BV458" s="748"/>
      <c r="BW458" s="749"/>
      <c r="BX458" s="54">
        <f>SUM(BX456,BX432,BX438,BX442,BX448)</f>
        <v>620.88253975631699</v>
      </c>
      <c r="BZ458" s="687" t="s">
        <v>44</v>
      </c>
      <c r="CA458" s="748"/>
      <c r="CB458" s="748"/>
      <c r="CC458" s="748"/>
      <c r="CD458" s="749"/>
      <c r="CE458" s="54">
        <f>SUM(CE456,CE432,CE438,CE442,CE448)</f>
        <v>767.42434415107425</v>
      </c>
    </row>
    <row r="459" spans="1:256" ht="15" customHeight="1" thickBot="1">
      <c r="A459" s="687" t="s">
        <v>45</v>
      </c>
      <c r="B459" s="688"/>
      <c r="C459" s="688"/>
      <c r="D459" s="688"/>
      <c r="E459" s="55"/>
      <c r="F459" s="54"/>
      <c r="H459" s="687" t="s">
        <v>45</v>
      </c>
      <c r="I459" s="688"/>
      <c r="J459" s="688"/>
      <c r="K459" s="688"/>
      <c r="L459" s="55"/>
      <c r="M459" s="54"/>
      <c r="O459" s="735" t="s">
        <v>46</v>
      </c>
      <c r="P459" s="736"/>
      <c r="Q459" s="736"/>
      <c r="R459" s="736"/>
      <c r="S459" s="737"/>
      <c r="T459" s="54"/>
      <c r="V459" s="687" t="s">
        <v>45</v>
      </c>
      <c r="W459" s="688"/>
      <c r="X459" s="688"/>
      <c r="Y459" s="688"/>
      <c r="Z459" s="55"/>
      <c r="AA459" s="54"/>
      <c r="AC459" s="765" t="s">
        <v>46</v>
      </c>
      <c r="AD459" s="768"/>
      <c r="AE459" s="768"/>
      <c r="AF459" s="768"/>
      <c r="AG459" s="769"/>
      <c r="AH459" s="400"/>
      <c r="AJ459" s="765" t="s">
        <v>46</v>
      </c>
      <c r="AK459" s="768"/>
      <c r="AL459" s="768"/>
      <c r="AM459" s="768"/>
      <c r="AN459" s="769"/>
      <c r="AO459" s="400"/>
      <c r="AQ459" s="765" t="s">
        <v>46</v>
      </c>
      <c r="AR459" s="768"/>
      <c r="AS459" s="768"/>
      <c r="AT459" s="768"/>
      <c r="AU459" s="769"/>
      <c r="AV459" s="400"/>
      <c r="AX459" s="765" t="s">
        <v>46</v>
      </c>
      <c r="AY459" s="768"/>
      <c r="AZ459" s="768"/>
      <c r="BA459" s="768"/>
      <c r="BB459" s="769"/>
      <c r="BC459" s="400"/>
      <c r="BE459" s="765" t="s">
        <v>46</v>
      </c>
      <c r="BF459" s="768"/>
      <c r="BG459" s="768"/>
      <c r="BH459" s="768"/>
      <c r="BI459" s="769"/>
      <c r="BJ459" s="400"/>
      <c r="BL459" s="765" t="s">
        <v>46</v>
      </c>
      <c r="BM459" s="768"/>
      <c r="BN459" s="768"/>
      <c r="BO459" s="768"/>
      <c r="BP459" s="769"/>
      <c r="BQ459" s="400"/>
      <c r="BS459" s="687" t="s">
        <v>45</v>
      </c>
      <c r="BT459" s="688"/>
      <c r="BU459" s="688"/>
      <c r="BV459" s="688"/>
      <c r="BW459" s="55"/>
      <c r="BX459" s="54"/>
      <c r="BZ459" s="687" t="s">
        <v>45</v>
      </c>
      <c r="CA459" s="688"/>
      <c r="CB459" s="688"/>
      <c r="CC459" s="688"/>
      <c r="CD459" s="55"/>
      <c r="CE459" s="54"/>
    </row>
    <row r="460" spans="1:256" ht="15" customHeight="1" thickBot="1">
      <c r="A460" s="687" t="s">
        <v>46</v>
      </c>
      <c r="B460" s="688"/>
      <c r="C460" s="688"/>
      <c r="D460" s="688"/>
      <c r="E460" s="689"/>
      <c r="F460" s="54"/>
      <c r="H460" s="687" t="s">
        <v>46</v>
      </c>
      <c r="I460" s="688"/>
      <c r="J460" s="688"/>
      <c r="K460" s="688"/>
      <c r="L460" s="689"/>
      <c r="M460" s="54"/>
      <c r="O460" s="735" t="s">
        <v>47</v>
      </c>
      <c r="P460" s="736"/>
      <c r="Q460" s="736"/>
      <c r="R460" s="736"/>
      <c r="S460" s="737"/>
      <c r="T460" s="54"/>
      <c r="V460" s="687" t="s">
        <v>46</v>
      </c>
      <c r="W460" s="688"/>
      <c r="X460" s="688"/>
      <c r="Y460" s="688"/>
      <c r="Z460" s="689"/>
      <c r="AA460" s="54"/>
      <c r="AC460" s="765" t="s">
        <v>47</v>
      </c>
      <c r="AD460" s="768"/>
      <c r="AE460" s="768"/>
      <c r="AF460" s="768"/>
      <c r="AG460" s="429"/>
      <c r="AH460" s="400"/>
      <c r="AJ460" s="765" t="s">
        <v>47</v>
      </c>
      <c r="AK460" s="768"/>
      <c r="AL460" s="768"/>
      <c r="AM460" s="768"/>
      <c r="AN460" s="429"/>
      <c r="AO460" s="400"/>
      <c r="AQ460" s="765" t="s">
        <v>47</v>
      </c>
      <c r="AR460" s="768"/>
      <c r="AS460" s="768"/>
      <c r="AT460" s="768"/>
      <c r="AU460" s="429"/>
      <c r="AV460" s="400"/>
      <c r="AX460" s="765" t="s">
        <v>47</v>
      </c>
      <c r="AY460" s="768"/>
      <c r="AZ460" s="768"/>
      <c r="BA460" s="768"/>
      <c r="BB460" s="429"/>
      <c r="BC460" s="400"/>
      <c r="BE460" s="765" t="s">
        <v>47</v>
      </c>
      <c r="BF460" s="768"/>
      <c r="BG460" s="768"/>
      <c r="BH460" s="768"/>
      <c r="BI460" s="429"/>
      <c r="BJ460" s="400"/>
      <c r="BL460" s="765" t="s">
        <v>47</v>
      </c>
      <c r="BM460" s="768"/>
      <c r="BN460" s="768"/>
      <c r="BO460" s="768"/>
      <c r="BP460" s="429"/>
      <c r="BQ460" s="400"/>
      <c r="BS460" s="687" t="s">
        <v>46</v>
      </c>
      <c r="BT460" s="688"/>
      <c r="BU460" s="688"/>
      <c r="BV460" s="688"/>
      <c r="BW460" s="689"/>
      <c r="BX460" s="54"/>
      <c r="BZ460" s="687" t="s">
        <v>46</v>
      </c>
      <c r="CA460" s="688"/>
      <c r="CB460" s="688"/>
      <c r="CC460" s="688"/>
      <c r="CD460" s="689"/>
      <c r="CE460" s="54"/>
    </row>
    <row r="461" spans="1:256" ht="15" customHeight="1" thickBot="1">
      <c r="A461" s="687" t="s">
        <v>47</v>
      </c>
      <c r="B461" s="688"/>
      <c r="C461" s="688"/>
      <c r="D461" s="688"/>
      <c r="E461" s="56"/>
      <c r="F461" s="54"/>
      <c r="H461" s="687" t="s">
        <v>47</v>
      </c>
      <c r="I461" s="688"/>
      <c r="J461" s="688"/>
      <c r="K461" s="688"/>
      <c r="L461" s="56"/>
      <c r="M461" s="54"/>
      <c r="O461" s="735" t="s">
        <v>46</v>
      </c>
      <c r="P461" s="736"/>
      <c r="Q461" s="736"/>
      <c r="R461" s="736"/>
      <c r="S461" s="737"/>
      <c r="T461" s="54"/>
      <c r="V461" s="687" t="s">
        <v>47</v>
      </c>
      <c r="W461" s="688"/>
      <c r="X461" s="688"/>
      <c r="Y461" s="688"/>
      <c r="Z461" s="56"/>
      <c r="AA461" s="54"/>
      <c r="AC461" s="765" t="s">
        <v>46</v>
      </c>
      <c r="AD461" s="768"/>
      <c r="AE461" s="768"/>
      <c r="AF461" s="768"/>
      <c r="AG461" s="769"/>
      <c r="AH461" s="400"/>
      <c r="AJ461" s="765" t="s">
        <v>46</v>
      </c>
      <c r="AK461" s="768"/>
      <c r="AL461" s="768"/>
      <c r="AM461" s="768"/>
      <c r="AN461" s="769"/>
      <c r="AO461" s="400"/>
      <c r="AQ461" s="765" t="s">
        <v>46</v>
      </c>
      <c r="AR461" s="768"/>
      <c r="AS461" s="768"/>
      <c r="AT461" s="768"/>
      <c r="AU461" s="769"/>
      <c r="AV461" s="400"/>
      <c r="AX461" s="765" t="s">
        <v>46</v>
      </c>
      <c r="AY461" s="768"/>
      <c r="AZ461" s="768"/>
      <c r="BA461" s="768"/>
      <c r="BB461" s="769"/>
      <c r="BC461" s="400"/>
      <c r="BE461" s="765" t="s">
        <v>46</v>
      </c>
      <c r="BF461" s="768"/>
      <c r="BG461" s="768"/>
      <c r="BH461" s="768"/>
      <c r="BI461" s="769"/>
      <c r="BJ461" s="400"/>
      <c r="BL461" s="765" t="s">
        <v>46</v>
      </c>
      <c r="BM461" s="768"/>
      <c r="BN461" s="768"/>
      <c r="BO461" s="768"/>
      <c r="BP461" s="769"/>
      <c r="BQ461" s="400"/>
      <c r="BS461" s="687" t="s">
        <v>47</v>
      </c>
      <c r="BT461" s="688"/>
      <c r="BU461" s="688"/>
      <c r="BV461" s="688"/>
      <c r="BW461" s="56"/>
      <c r="BX461" s="54"/>
      <c r="BZ461" s="687" t="s">
        <v>47</v>
      </c>
      <c r="CA461" s="688"/>
      <c r="CB461" s="688"/>
      <c r="CC461" s="688"/>
      <c r="CD461" s="56"/>
      <c r="CE461" s="54"/>
    </row>
    <row r="462" spans="1:256" ht="15" customHeight="1" thickBot="1">
      <c r="A462" s="687" t="s">
        <v>46</v>
      </c>
      <c r="B462" s="688"/>
      <c r="C462" s="688"/>
      <c r="D462" s="688"/>
      <c r="E462" s="689"/>
      <c r="F462" s="54"/>
      <c r="H462" s="687" t="s">
        <v>46</v>
      </c>
      <c r="I462" s="688"/>
      <c r="J462" s="688"/>
      <c r="K462" s="688"/>
      <c r="L462" s="689"/>
      <c r="M462" s="54"/>
      <c r="O462" s="735" t="s">
        <v>48</v>
      </c>
      <c r="P462" s="736"/>
      <c r="Q462" s="736"/>
      <c r="R462" s="736"/>
      <c r="S462" s="737"/>
      <c r="T462" s="54"/>
      <c r="V462" s="687" t="s">
        <v>46</v>
      </c>
      <c r="W462" s="688"/>
      <c r="X462" s="688"/>
      <c r="Y462" s="688"/>
      <c r="Z462" s="689"/>
      <c r="AA462" s="54"/>
      <c r="AC462" s="765" t="s">
        <v>48</v>
      </c>
      <c r="AD462" s="768"/>
      <c r="AE462" s="768"/>
      <c r="AF462" s="768"/>
      <c r="AG462" s="428"/>
      <c r="AH462" s="400"/>
      <c r="AJ462" s="765" t="s">
        <v>48</v>
      </c>
      <c r="AK462" s="768"/>
      <c r="AL462" s="768"/>
      <c r="AM462" s="768"/>
      <c r="AN462" s="428"/>
      <c r="AO462" s="400"/>
      <c r="AQ462" s="765" t="s">
        <v>48</v>
      </c>
      <c r="AR462" s="768"/>
      <c r="AS462" s="768"/>
      <c r="AT462" s="768"/>
      <c r="AU462" s="428"/>
      <c r="AV462" s="400"/>
      <c r="AX462" s="765" t="s">
        <v>48</v>
      </c>
      <c r="AY462" s="768"/>
      <c r="AZ462" s="768"/>
      <c r="BA462" s="768"/>
      <c r="BB462" s="428"/>
      <c r="BC462" s="400"/>
      <c r="BE462" s="765" t="s">
        <v>48</v>
      </c>
      <c r="BF462" s="768"/>
      <c r="BG462" s="768"/>
      <c r="BH462" s="768"/>
      <c r="BI462" s="428"/>
      <c r="BJ462" s="400"/>
      <c r="BL462" s="765" t="s">
        <v>48</v>
      </c>
      <c r="BM462" s="768"/>
      <c r="BN462" s="768"/>
      <c r="BO462" s="768"/>
      <c r="BP462" s="428"/>
      <c r="BQ462" s="400"/>
      <c r="BS462" s="687" t="s">
        <v>46</v>
      </c>
      <c r="BT462" s="688"/>
      <c r="BU462" s="688"/>
      <c r="BV462" s="688"/>
      <c r="BW462" s="689"/>
      <c r="BX462" s="54"/>
      <c r="BZ462" s="687" t="s">
        <v>46</v>
      </c>
      <c r="CA462" s="688"/>
      <c r="CB462" s="688"/>
      <c r="CC462" s="688"/>
      <c r="CD462" s="689"/>
      <c r="CE462" s="54"/>
    </row>
    <row r="463" spans="1:256" ht="15" customHeight="1" thickBot="1">
      <c r="A463" s="687" t="s">
        <v>48</v>
      </c>
      <c r="B463" s="688"/>
      <c r="C463" s="688"/>
      <c r="D463" s="688"/>
      <c r="E463" s="55"/>
      <c r="F463" s="54"/>
      <c r="H463" s="687" t="s">
        <v>48</v>
      </c>
      <c r="I463" s="688"/>
      <c r="J463" s="688"/>
      <c r="K463" s="688"/>
      <c r="L463" s="55"/>
      <c r="M463" s="54"/>
      <c r="O463" s="735" t="s">
        <v>46</v>
      </c>
      <c r="P463" s="736"/>
      <c r="Q463" s="736"/>
      <c r="R463" s="736"/>
      <c r="S463" s="737"/>
      <c r="T463" s="54"/>
      <c r="V463" s="687" t="s">
        <v>48</v>
      </c>
      <c r="W463" s="688"/>
      <c r="X463" s="688"/>
      <c r="Y463" s="688"/>
      <c r="Z463" s="55"/>
      <c r="AA463" s="54"/>
      <c r="AC463" s="765" t="s">
        <v>46</v>
      </c>
      <c r="AD463" s="768"/>
      <c r="AE463" s="768"/>
      <c r="AF463" s="768"/>
      <c r="AG463" s="769"/>
      <c r="AH463" s="400"/>
      <c r="AJ463" s="765" t="s">
        <v>46</v>
      </c>
      <c r="AK463" s="768"/>
      <c r="AL463" s="768"/>
      <c r="AM463" s="768"/>
      <c r="AN463" s="769"/>
      <c r="AO463" s="400"/>
      <c r="AQ463" s="765" t="s">
        <v>46</v>
      </c>
      <c r="AR463" s="768"/>
      <c r="AS463" s="768"/>
      <c r="AT463" s="768"/>
      <c r="AU463" s="769"/>
      <c r="AV463" s="400"/>
      <c r="AX463" s="765" t="s">
        <v>46</v>
      </c>
      <c r="AY463" s="768"/>
      <c r="AZ463" s="768"/>
      <c r="BA463" s="768"/>
      <c r="BB463" s="769"/>
      <c r="BC463" s="400"/>
      <c r="BE463" s="765" t="s">
        <v>46</v>
      </c>
      <c r="BF463" s="768"/>
      <c r="BG463" s="768"/>
      <c r="BH463" s="768"/>
      <c r="BI463" s="769"/>
      <c r="BJ463" s="400"/>
      <c r="BL463" s="765" t="s">
        <v>46</v>
      </c>
      <c r="BM463" s="768"/>
      <c r="BN463" s="768"/>
      <c r="BO463" s="768"/>
      <c r="BP463" s="769"/>
      <c r="BQ463" s="400"/>
      <c r="BS463" s="687" t="s">
        <v>48</v>
      </c>
      <c r="BT463" s="688"/>
      <c r="BU463" s="688"/>
      <c r="BV463" s="688"/>
      <c r="BW463" s="55"/>
      <c r="BX463" s="54"/>
      <c r="BZ463" s="687" t="s">
        <v>48</v>
      </c>
      <c r="CA463" s="688"/>
      <c r="CB463" s="688"/>
      <c r="CC463" s="688"/>
      <c r="CD463" s="55"/>
      <c r="CE463" s="54"/>
    </row>
    <row r="464" spans="1:256" ht="15" customHeight="1" thickBot="1">
      <c r="A464" s="687" t="s">
        <v>46</v>
      </c>
      <c r="B464" s="688"/>
      <c r="C464" s="688"/>
      <c r="D464" s="688"/>
      <c r="E464" s="689"/>
      <c r="F464" s="54"/>
      <c r="H464" s="687" t="s">
        <v>46</v>
      </c>
      <c r="I464" s="688"/>
      <c r="J464" s="688"/>
      <c r="K464" s="688"/>
      <c r="L464" s="689"/>
      <c r="M464" s="54"/>
      <c r="O464" s="735" t="s">
        <v>49</v>
      </c>
      <c r="P464" s="736"/>
      <c r="Q464" s="736"/>
      <c r="R464" s="736"/>
      <c r="S464" s="737"/>
      <c r="T464" s="54"/>
      <c r="V464" s="687" t="s">
        <v>46</v>
      </c>
      <c r="W464" s="688"/>
      <c r="X464" s="688"/>
      <c r="Y464" s="688"/>
      <c r="Z464" s="689"/>
      <c r="AA464" s="54"/>
      <c r="AC464" s="765" t="s">
        <v>49</v>
      </c>
      <c r="AD464" s="768"/>
      <c r="AE464" s="768"/>
      <c r="AF464" s="768"/>
      <c r="AG464" s="429"/>
      <c r="AH464" s="400"/>
      <c r="AJ464" s="765" t="s">
        <v>49</v>
      </c>
      <c r="AK464" s="768"/>
      <c r="AL464" s="768"/>
      <c r="AM464" s="768"/>
      <c r="AN464" s="429"/>
      <c r="AO464" s="400"/>
      <c r="AQ464" s="765" t="s">
        <v>49</v>
      </c>
      <c r="AR464" s="768"/>
      <c r="AS464" s="768"/>
      <c r="AT464" s="768"/>
      <c r="AU464" s="429"/>
      <c r="AV464" s="400"/>
      <c r="AX464" s="765" t="s">
        <v>49</v>
      </c>
      <c r="AY464" s="768"/>
      <c r="AZ464" s="768"/>
      <c r="BA464" s="768"/>
      <c r="BB464" s="429"/>
      <c r="BC464" s="400"/>
      <c r="BE464" s="765" t="s">
        <v>49</v>
      </c>
      <c r="BF464" s="768"/>
      <c r="BG464" s="768"/>
      <c r="BH464" s="768"/>
      <c r="BI464" s="429"/>
      <c r="BJ464" s="400"/>
      <c r="BL464" s="765" t="s">
        <v>49</v>
      </c>
      <c r="BM464" s="768"/>
      <c r="BN464" s="768"/>
      <c r="BO464" s="768"/>
      <c r="BP464" s="429"/>
      <c r="BQ464" s="400"/>
      <c r="BS464" s="687" t="s">
        <v>46</v>
      </c>
      <c r="BT464" s="688"/>
      <c r="BU464" s="688"/>
      <c r="BV464" s="688"/>
      <c r="BW464" s="689"/>
      <c r="BX464" s="54"/>
      <c r="BZ464" s="687" t="s">
        <v>46</v>
      </c>
      <c r="CA464" s="688"/>
      <c r="CB464" s="688"/>
      <c r="CC464" s="688"/>
      <c r="CD464" s="689"/>
      <c r="CE464" s="54"/>
    </row>
    <row r="465" spans="1:83" ht="15" customHeight="1" thickBot="1">
      <c r="A465" s="687" t="s">
        <v>49</v>
      </c>
      <c r="B465" s="688"/>
      <c r="C465" s="688"/>
      <c r="D465" s="688"/>
      <c r="E465" s="56"/>
      <c r="F465" s="54"/>
      <c r="H465" s="687" t="s">
        <v>49</v>
      </c>
      <c r="I465" s="688"/>
      <c r="J465" s="688"/>
      <c r="K465" s="688"/>
      <c r="L465" s="56"/>
      <c r="M465" s="54"/>
      <c r="O465" s="738" t="s">
        <v>50</v>
      </c>
      <c r="P465" s="739"/>
      <c r="Q465" s="739"/>
      <c r="R465" s="739"/>
      <c r="S465" s="740"/>
      <c r="T465" s="57"/>
      <c r="V465" s="687" t="s">
        <v>49</v>
      </c>
      <c r="W465" s="688"/>
      <c r="X465" s="688"/>
      <c r="Y465" s="688"/>
      <c r="Z465" s="56"/>
      <c r="AA465" s="54"/>
      <c r="AC465" s="755" t="s">
        <v>50</v>
      </c>
      <c r="AD465" s="756"/>
      <c r="AE465" s="756"/>
      <c r="AF465" s="756"/>
      <c r="AG465" s="757"/>
      <c r="AH465" s="430"/>
      <c r="AJ465" s="755" t="s">
        <v>50</v>
      </c>
      <c r="AK465" s="756"/>
      <c r="AL465" s="756"/>
      <c r="AM465" s="756"/>
      <c r="AN465" s="757"/>
      <c r="AO465" s="430"/>
      <c r="AQ465" s="755" t="s">
        <v>50</v>
      </c>
      <c r="AR465" s="756"/>
      <c r="AS465" s="756"/>
      <c r="AT465" s="756"/>
      <c r="AU465" s="757"/>
      <c r="AV465" s="430"/>
      <c r="AX465" s="755" t="s">
        <v>50</v>
      </c>
      <c r="AY465" s="756"/>
      <c r="AZ465" s="756"/>
      <c r="BA465" s="756"/>
      <c r="BB465" s="757"/>
      <c r="BC465" s="430"/>
      <c r="BE465" s="755" t="s">
        <v>50</v>
      </c>
      <c r="BF465" s="756"/>
      <c r="BG465" s="756"/>
      <c r="BH465" s="756"/>
      <c r="BI465" s="757"/>
      <c r="BJ465" s="430"/>
      <c r="BL465" s="755" t="s">
        <v>50</v>
      </c>
      <c r="BM465" s="756"/>
      <c r="BN465" s="756"/>
      <c r="BO465" s="756"/>
      <c r="BP465" s="757"/>
      <c r="BQ465" s="430"/>
      <c r="BS465" s="687" t="s">
        <v>49</v>
      </c>
      <c r="BT465" s="688"/>
      <c r="BU465" s="688"/>
      <c r="BV465" s="688"/>
      <c r="BW465" s="56"/>
      <c r="BX465" s="54"/>
      <c r="BZ465" s="687" t="s">
        <v>49</v>
      </c>
      <c r="CA465" s="688"/>
      <c r="CB465" s="688"/>
      <c r="CC465" s="688"/>
      <c r="CD465" s="56"/>
      <c r="CE465" s="54"/>
    </row>
    <row r="466" spans="1:83" ht="15" customHeight="1" thickBot="1">
      <c r="A466" s="690" t="s">
        <v>50</v>
      </c>
      <c r="B466" s="691"/>
      <c r="C466" s="691"/>
      <c r="D466" s="691"/>
      <c r="E466" s="692"/>
      <c r="F466" s="57"/>
      <c r="H466" s="690" t="s">
        <v>50</v>
      </c>
      <c r="I466" s="691"/>
      <c r="J466" s="691"/>
      <c r="K466" s="691"/>
      <c r="L466" s="692"/>
      <c r="M466" s="57"/>
      <c r="O466" s="741" t="s">
        <v>1424</v>
      </c>
      <c r="P466" s="742"/>
      <c r="Q466" s="742"/>
      <c r="R466" s="742"/>
      <c r="S466" s="742"/>
      <c r="T466" s="454"/>
      <c r="V466" s="690" t="s">
        <v>50</v>
      </c>
      <c r="W466" s="691"/>
      <c r="X466" s="691"/>
      <c r="Y466" s="691"/>
      <c r="Z466" s="692"/>
      <c r="AA466" s="57"/>
      <c r="AC466" s="758" t="s">
        <v>1425</v>
      </c>
      <c r="AD466" s="759"/>
      <c r="AE466" s="759"/>
      <c r="AF466" s="759"/>
      <c r="AG466" s="759"/>
      <c r="AH466" s="760"/>
      <c r="AJ466" s="758" t="s">
        <v>1426</v>
      </c>
      <c r="AK466" s="759"/>
      <c r="AL466" s="759"/>
      <c r="AM466" s="759"/>
      <c r="AN466" s="759"/>
      <c r="AO466" s="760"/>
      <c r="AQ466" s="758" t="s">
        <v>1427</v>
      </c>
      <c r="AR466" s="759"/>
      <c r="AS466" s="759"/>
      <c r="AT466" s="759"/>
      <c r="AU466" s="759"/>
      <c r="AV466" s="760"/>
      <c r="AX466" s="758" t="s">
        <v>1428</v>
      </c>
      <c r="AY466" s="759"/>
      <c r="AZ466" s="759"/>
      <c r="BA466" s="759"/>
      <c r="BB466" s="759"/>
      <c r="BC466" s="760"/>
      <c r="BE466" s="758" t="s">
        <v>1429</v>
      </c>
      <c r="BF466" s="759"/>
      <c r="BG466" s="759"/>
      <c r="BH466" s="759"/>
      <c r="BI466" s="759"/>
      <c r="BJ466" s="760"/>
      <c r="BL466" s="758" t="s">
        <v>1430</v>
      </c>
      <c r="BM466" s="759"/>
      <c r="BN466" s="759"/>
      <c r="BO466" s="759"/>
      <c r="BP466" s="759"/>
      <c r="BQ466" s="760"/>
      <c r="BS466" s="690" t="s">
        <v>50</v>
      </c>
      <c r="BT466" s="691"/>
      <c r="BU466" s="691"/>
      <c r="BV466" s="691"/>
      <c r="BW466" s="692"/>
      <c r="BX466" s="57"/>
      <c r="BZ466" s="690" t="s">
        <v>50</v>
      </c>
      <c r="CA466" s="691"/>
      <c r="CB466" s="691"/>
      <c r="CC466" s="691"/>
      <c r="CD466" s="692"/>
      <c r="CE466" s="57"/>
    </row>
    <row r="467" spans="1:83" ht="15" customHeight="1" thickBot="1">
      <c r="A467" s="693" t="s">
        <v>1422</v>
      </c>
      <c r="B467" s="694"/>
      <c r="C467" s="694"/>
      <c r="D467" s="694"/>
      <c r="E467" s="694"/>
      <c r="F467" s="695"/>
      <c r="H467" s="693" t="s">
        <v>1423</v>
      </c>
      <c r="I467" s="694"/>
      <c r="J467" s="694"/>
      <c r="K467" s="694"/>
      <c r="L467" s="694"/>
      <c r="M467" s="695"/>
      <c r="V467" s="693" t="s">
        <v>1395</v>
      </c>
      <c r="W467" s="694"/>
      <c r="X467" s="694"/>
      <c r="Y467" s="694"/>
      <c r="Z467" s="694"/>
      <c r="AA467" s="695"/>
      <c r="BS467" s="693" t="s">
        <v>1431</v>
      </c>
      <c r="BT467" s="694"/>
      <c r="BU467" s="694"/>
      <c r="BV467" s="694"/>
      <c r="BW467" s="694"/>
      <c r="BX467" s="695"/>
      <c r="BZ467" s="693" t="s">
        <v>1432</v>
      </c>
      <c r="CA467" s="694"/>
      <c r="CB467" s="694"/>
      <c r="CC467" s="694"/>
      <c r="CD467" s="694"/>
      <c r="CE467" s="695"/>
    </row>
    <row r="468" spans="1:83" ht="15" customHeight="1" thickBot="1">
      <c r="BS468" s="228"/>
      <c r="BT468" s="228"/>
      <c r="BU468" s="228"/>
      <c r="BV468" s="228"/>
      <c r="BW468" s="228"/>
      <c r="BX468" s="228"/>
      <c r="BZ468" s="228"/>
      <c r="CA468" s="228"/>
      <c r="CB468" s="228"/>
      <c r="CC468" s="228"/>
      <c r="CD468" s="228"/>
      <c r="CE468" s="228"/>
    </row>
    <row r="469" spans="1:83" ht="26.4" thickBot="1">
      <c r="A469" s="696" t="s">
        <v>0</v>
      </c>
      <c r="B469" s="697"/>
      <c r="C469" s="697"/>
      <c r="D469" s="697"/>
      <c r="E469" s="697"/>
      <c r="F469" s="698"/>
      <c r="H469" s="696" t="s">
        <v>0</v>
      </c>
      <c r="I469" s="697"/>
      <c r="J469" s="697"/>
      <c r="K469" s="697"/>
      <c r="L469" s="697"/>
      <c r="M469" s="698"/>
      <c r="O469" s="696" t="s">
        <v>0</v>
      </c>
      <c r="P469" s="697"/>
      <c r="Q469" s="697"/>
      <c r="R469" s="697"/>
      <c r="S469" s="697"/>
      <c r="T469" s="698"/>
      <c r="V469" s="696" t="s">
        <v>0</v>
      </c>
      <c r="W469" s="697"/>
      <c r="X469" s="697"/>
      <c r="Y469" s="697"/>
      <c r="Z469" s="697"/>
      <c r="AA469" s="698"/>
      <c r="AC469" s="696" t="s">
        <v>0</v>
      </c>
      <c r="AD469" s="697"/>
      <c r="AE469" s="697"/>
      <c r="AF469" s="697"/>
      <c r="AG469" s="697"/>
      <c r="AH469" s="698"/>
      <c r="AJ469" s="696" t="s">
        <v>0</v>
      </c>
      <c r="AK469" s="697"/>
      <c r="AL469" s="697"/>
      <c r="AM469" s="697"/>
      <c r="AN469" s="697"/>
      <c r="AO469" s="698"/>
      <c r="AQ469" s="752" t="s">
        <v>0</v>
      </c>
      <c r="AR469" s="753"/>
      <c r="AS469" s="753"/>
      <c r="AT469" s="753"/>
      <c r="AU469" s="753"/>
      <c r="AV469" s="754"/>
      <c r="AX469" s="752" t="s">
        <v>0</v>
      </c>
      <c r="AY469" s="753"/>
      <c r="AZ469" s="753"/>
      <c r="BA469" s="753"/>
      <c r="BB469" s="753"/>
      <c r="BC469" s="754"/>
      <c r="BE469" s="696" t="s">
        <v>0</v>
      </c>
      <c r="BF469" s="697"/>
      <c r="BG469" s="697"/>
      <c r="BH469" s="697"/>
      <c r="BI469" s="697"/>
      <c r="BJ469" s="698"/>
      <c r="BL469" s="752" t="s">
        <v>0</v>
      </c>
      <c r="BM469" s="753"/>
      <c r="BN469" s="753"/>
      <c r="BO469" s="753"/>
      <c r="BP469" s="753"/>
      <c r="BQ469" s="754"/>
      <c r="BS469" s="752" t="s">
        <v>0</v>
      </c>
      <c r="BT469" s="753"/>
      <c r="BU469" s="753"/>
      <c r="BV469" s="753"/>
      <c r="BW469" s="753"/>
      <c r="BX469" s="754"/>
      <c r="BZ469" s="696" t="s">
        <v>0</v>
      </c>
      <c r="CA469" s="697"/>
      <c r="CB469" s="697"/>
      <c r="CC469" s="697"/>
      <c r="CD469" s="697"/>
      <c r="CE469" s="698"/>
    </row>
    <row r="470" spans="1:83" ht="15" customHeight="1" thickBot="1">
      <c r="A470" s="3" t="s">
        <v>1</v>
      </c>
      <c r="B470" s="693" t="s">
        <v>2</v>
      </c>
      <c r="C470" s="694"/>
      <c r="D470" s="694"/>
      <c r="E470" s="695"/>
      <c r="F470" s="3" t="s">
        <v>3</v>
      </c>
      <c r="H470" s="3" t="s">
        <v>1</v>
      </c>
      <c r="I470" s="693" t="s">
        <v>2</v>
      </c>
      <c r="J470" s="694"/>
      <c r="K470" s="694"/>
      <c r="L470" s="695"/>
      <c r="M470" s="3" t="s">
        <v>3</v>
      </c>
      <c r="O470" s="3" t="s">
        <v>1</v>
      </c>
      <c r="P470" s="693" t="s">
        <v>2</v>
      </c>
      <c r="Q470" s="694"/>
      <c r="R470" s="694"/>
      <c r="S470" s="695"/>
      <c r="T470" s="3" t="s">
        <v>3</v>
      </c>
      <c r="V470" s="3" t="s">
        <v>1</v>
      </c>
      <c r="W470" s="693" t="s">
        <v>2</v>
      </c>
      <c r="X470" s="694"/>
      <c r="Y470" s="694"/>
      <c r="Z470" s="695"/>
      <c r="AA470" s="3" t="s">
        <v>3</v>
      </c>
      <c r="AC470" s="3" t="s">
        <v>1</v>
      </c>
      <c r="AD470" s="693" t="s">
        <v>2</v>
      </c>
      <c r="AE470" s="694"/>
      <c r="AF470" s="694"/>
      <c r="AG470" s="695"/>
      <c r="AH470" s="3" t="s">
        <v>3</v>
      </c>
      <c r="AJ470" s="3" t="s">
        <v>1</v>
      </c>
      <c r="AK470" s="693" t="s">
        <v>2</v>
      </c>
      <c r="AL470" s="694"/>
      <c r="AM470" s="694"/>
      <c r="AN470" s="695"/>
      <c r="AO470" s="3" t="s">
        <v>3</v>
      </c>
      <c r="AQ470" s="3" t="s">
        <v>1</v>
      </c>
      <c r="AR470" s="693" t="s">
        <v>2</v>
      </c>
      <c r="AS470" s="694"/>
      <c r="AT470" s="694"/>
      <c r="AU470" s="695"/>
      <c r="AV470" s="3" t="s">
        <v>3</v>
      </c>
      <c r="AX470" s="3" t="s">
        <v>1</v>
      </c>
      <c r="AY470" s="693" t="s">
        <v>2</v>
      </c>
      <c r="AZ470" s="694"/>
      <c r="BA470" s="694"/>
      <c r="BB470" s="695"/>
      <c r="BC470" s="3" t="s">
        <v>3</v>
      </c>
      <c r="BE470" s="3" t="s">
        <v>1</v>
      </c>
      <c r="BF470" s="693" t="s">
        <v>2</v>
      </c>
      <c r="BG470" s="694"/>
      <c r="BH470" s="694"/>
      <c r="BI470" s="695"/>
      <c r="BJ470" s="3" t="s">
        <v>3</v>
      </c>
      <c r="BL470" s="3" t="s">
        <v>1</v>
      </c>
      <c r="BM470" s="693" t="s">
        <v>2</v>
      </c>
      <c r="BN470" s="694"/>
      <c r="BO470" s="694"/>
      <c r="BP470" s="695"/>
      <c r="BQ470" s="3" t="s">
        <v>3</v>
      </c>
      <c r="BS470" s="3" t="s">
        <v>1</v>
      </c>
      <c r="BT470" s="693" t="s">
        <v>2</v>
      </c>
      <c r="BU470" s="694"/>
      <c r="BV470" s="694"/>
      <c r="BW470" s="695"/>
      <c r="BX470" s="3" t="s">
        <v>3</v>
      </c>
      <c r="BZ470" s="3" t="s">
        <v>1</v>
      </c>
      <c r="CA470" s="693" t="s">
        <v>2</v>
      </c>
      <c r="CB470" s="694"/>
      <c r="CC470" s="694"/>
      <c r="CD470" s="695"/>
      <c r="CE470" s="3" t="s">
        <v>3</v>
      </c>
    </row>
    <row r="471" spans="1:83" ht="92.25" customHeight="1" thickBot="1">
      <c r="A471" s="5" t="s">
        <v>52</v>
      </c>
      <c r="B471" s="743" t="s">
        <v>1141</v>
      </c>
      <c r="C471" s="744"/>
      <c r="D471" s="744"/>
      <c r="E471" s="745"/>
      <c r="F471" s="5" t="s">
        <v>6</v>
      </c>
      <c r="H471" s="5" t="s">
        <v>54</v>
      </c>
      <c r="I471" s="743" t="s">
        <v>830</v>
      </c>
      <c r="J471" s="744"/>
      <c r="K471" s="744"/>
      <c r="L471" s="745"/>
      <c r="M471" s="5" t="s">
        <v>6</v>
      </c>
      <c r="O471" s="5" t="s">
        <v>831</v>
      </c>
      <c r="P471" s="743" t="s">
        <v>832</v>
      </c>
      <c r="Q471" s="744"/>
      <c r="R471" s="744"/>
      <c r="S471" s="745"/>
      <c r="T471" s="5" t="s">
        <v>294</v>
      </c>
      <c r="V471" s="5" t="s">
        <v>834</v>
      </c>
      <c r="W471" s="743" t="s">
        <v>1360</v>
      </c>
      <c r="X471" s="744"/>
      <c r="Y471" s="744"/>
      <c r="Z471" s="745"/>
      <c r="AA471" s="5" t="s">
        <v>6</v>
      </c>
      <c r="AC471" s="5" t="s">
        <v>835</v>
      </c>
      <c r="AD471" s="743" t="s">
        <v>1142</v>
      </c>
      <c r="AE471" s="744"/>
      <c r="AF471" s="744"/>
      <c r="AG471" s="745"/>
      <c r="AH471" s="5" t="s">
        <v>6</v>
      </c>
      <c r="AJ471" s="5" t="s">
        <v>836</v>
      </c>
      <c r="AK471" s="743" t="s">
        <v>909</v>
      </c>
      <c r="AL471" s="744"/>
      <c r="AM471" s="744"/>
      <c r="AN471" s="745"/>
      <c r="AO471" s="5" t="s">
        <v>6</v>
      </c>
      <c r="AQ471" s="5" t="s">
        <v>837</v>
      </c>
      <c r="AR471" s="743" t="s">
        <v>1327</v>
      </c>
      <c r="AS471" s="744"/>
      <c r="AT471" s="744"/>
      <c r="AU471" s="745"/>
      <c r="AV471" s="5" t="s">
        <v>6</v>
      </c>
      <c r="AX471" s="5" t="s">
        <v>838</v>
      </c>
      <c r="AY471" s="743" t="s">
        <v>839</v>
      </c>
      <c r="AZ471" s="744"/>
      <c r="BA471" s="744"/>
      <c r="BB471" s="745"/>
      <c r="BC471" s="5" t="s">
        <v>6</v>
      </c>
      <c r="BE471" s="5" t="s">
        <v>840</v>
      </c>
      <c r="BF471" s="743" t="s">
        <v>1143</v>
      </c>
      <c r="BG471" s="744"/>
      <c r="BH471" s="744"/>
      <c r="BI471" s="745"/>
      <c r="BJ471" s="5" t="s">
        <v>6</v>
      </c>
      <c r="BL471" s="5" t="s">
        <v>841</v>
      </c>
      <c r="BM471" s="743" t="s">
        <v>1144</v>
      </c>
      <c r="BN471" s="744"/>
      <c r="BO471" s="744"/>
      <c r="BP471" s="745"/>
      <c r="BQ471" s="5" t="s">
        <v>6</v>
      </c>
      <c r="BS471" s="5" t="s">
        <v>842</v>
      </c>
      <c r="BT471" s="743" t="s">
        <v>1326</v>
      </c>
      <c r="BU471" s="744"/>
      <c r="BV471" s="744"/>
      <c r="BW471" s="745"/>
      <c r="BX471" s="5" t="s">
        <v>6</v>
      </c>
      <c r="BZ471" s="5" t="s">
        <v>962</v>
      </c>
      <c r="CA471" s="743" t="s">
        <v>53</v>
      </c>
      <c r="CB471" s="744"/>
      <c r="CC471" s="744"/>
      <c r="CD471" s="745"/>
      <c r="CE471" s="5" t="s">
        <v>6</v>
      </c>
    </row>
    <row r="472" spans="1:83" ht="15" customHeight="1" thickBot="1">
      <c r="A472" s="705" t="s">
        <v>8</v>
      </c>
      <c r="B472" s="706"/>
      <c r="C472" s="706"/>
      <c r="D472" s="706"/>
      <c r="E472" s="706"/>
      <c r="F472" s="707"/>
      <c r="H472" s="705" t="s">
        <v>8</v>
      </c>
      <c r="I472" s="706"/>
      <c r="J472" s="706"/>
      <c r="K472" s="706"/>
      <c r="L472" s="706"/>
      <c r="M472" s="707"/>
      <c r="O472" s="705" t="s">
        <v>8</v>
      </c>
      <c r="P472" s="706"/>
      <c r="Q472" s="706"/>
      <c r="R472" s="706"/>
      <c r="S472" s="706"/>
      <c r="T472" s="707"/>
      <c r="V472" s="705" t="s">
        <v>8</v>
      </c>
      <c r="W472" s="706"/>
      <c r="X472" s="706"/>
      <c r="Y472" s="706"/>
      <c r="Z472" s="706"/>
      <c r="AA472" s="707"/>
      <c r="AC472" s="705" t="s">
        <v>8</v>
      </c>
      <c r="AD472" s="706"/>
      <c r="AE472" s="706"/>
      <c r="AF472" s="706"/>
      <c r="AG472" s="706"/>
      <c r="AH472" s="707"/>
      <c r="AJ472" s="705" t="s">
        <v>8</v>
      </c>
      <c r="AK472" s="706"/>
      <c r="AL472" s="706"/>
      <c r="AM472" s="706"/>
      <c r="AN472" s="706"/>
      <c r="AO472" s="707"/>
      <c r="AQ472" s="705" t="s">
        <v>8</v>
      </c>
      <c r="AR472" s="706"/>
      <c r="AS472" s="706"/>
      <c r="AT472" s="706"/>
      <c r="AU472" s="706"/>
      <c r="AV472" s="707"/>
      <c r="AX472" s="705" t="s">
        <v>8</v>
      </c>
      <c r="AY472" s="706"/>
      <c r="AZ472" s="706"/>
      <c r="BA472" s="706"/>
      <c r="BB472" s="706"/>
      <c r="BC472" s="707"/>
      <c r="BE472" s="705" t="s">
        <v>8</v>
      </c>
      <c r="BF472" s="706"/>
      <c r="BG472" s="706"/>
      <c r="BH472" s="706"/>
      <c r="BI472" s="706"/>
      <c r="BJ472" s="707"/>
      <c r="BL472" s="705" t="s">
        <v>8</v>
      </c>
      <c r="BM472" s="706"/>
      <c r="BN472" s="706"/>
      <c r="BO472" s="706"/>
      <c r="BP472" s="706"/>
      <c r="BQ472" s="707"/>
      <c r="BS472" s="705" t="s">
        <v>8</v>
      </c>
      <c r="BT472" s="706"/>
      <c r="BU472" s="706"/>
      <c r="BV472" s="706"/>
      <c r="BW472" s="706"/>
      <c r="BX472" s="707"/>
      <c r="BZ472" s="705" t="s">
        <v>8</v>
      </c>
      <c r="CA472" s="706"/>
      <c r="CB472" s="706"/>
      <c r="CC472" s="706"/>
      <c r="CD472" s="706"/>
      <c r="CE472" s="707"/>
    </row>
    <row r="473" spans="1:83" ht="15" customHeight="1" thickBot="1">
      <c r="A473" s="8" t="s">
        <v>1</v>
      </c>
      <c r="B473" s="5" t="s">
        <v>2</v>
      </c>
      <c r="C473" s="8" t="s">
        <v>3</v>
      </c>
      <c r="D473" s="8" t="s">
        <v>9</v>
      </c>
      <c r="E473" s="8" t="s">
        <v>10</v>
      </c>
      <c r="F473" s="8" t="s">
        <v>11</v>
      </c>
      <c r="H473" s="8" t="s">
        <v>1</v>
      </c>
      <c r="I473" s="5" t="s">
        <v>2</v>
      </c>
      <c r="J473" s="8" t="s">
        <v>3</v>
      </c>
      <c r="K473" s="8" t="s">
        <v>9</v>
      </c>
      <c r="L473" s="8" t="s">
        <v>10</v>
      </c>
      <c r="M473" s="8" t="s">
        <v>11</v>
      </c>
      <c r="O473" s="8" t="s">
        <v>1</v>
      </c>
      <c r="P473" s="5" t="s">
        <v>2</v>
      </c>
      <c r="Q473" s="8" t="s">
        <v>3</v>
      </c>
      <c r="R473" s="8" t="s">
        <v>9</v>
      </c>
      <c r="S473" s="8" t="s">
        <v>10</v>
      </c>
      <c r="T473" s="8" t="s">
        <v>11</v>
      </c>
      <c r="V473" s="8" t="s">
        <v>1</v>
      </c>
      <c r="W473" s="5" t="s">
        <v>2</v>
      </c>
      <c r="X473" s="8" t="s">
        <v>3</v>
      </c>
      <c r="Y473" s="8" t="s">
        <v>9</v>
      </c>
      <c r="Z473" s="8" t="s">
        <v>10</v>
      </c>
      <c r="AA473" s="8" t="s">
        <v>11</v>
      </c>
      <c r="AC473" s="8" t="s">
        <v>1</v>
      </c>
      <c r="AD473" s="5" t="s">
        <v>2</v>
      </c>
      <c r="AE473" s="8" t="s">
        <v>3</v>
      </c>
      <c r="AF473" s="8" t="s">
        <v>9</v>
      </c>
      <c r="AG473" s="8" t="s">
        <v>10</v>
      </c>
      <c r="AH473" s="8" t="s">
        <v>11</v>
      </c>
      <c r="AJ473" s="8" t="s">
        <v>1</v>
      </c>
      <c r="AK473" s="5" t="s">
        <v>2</v>
      </c>
      <c r="AL473" s="8" t="s">
        <v>3</v>
      </c>
      <c r="AM473" s="8" t="s">
        <v>9</v>
      </c>
      <c r="AN473" s="8" t="s">
        <v>10</v>
      </c>
      <c r="AO473" s="8" t="s">
        <v>11</v>
      </c>
      <c r="AQ473" s="8" t="s">
        <v>1</v>
      </c>
      <c r="AR473" s="5" t="s">
        <v>2</v>
      </c>
      <c r="AS473" s="8" t="s">
        <v>3</v>
      </c>
      <c r="AT473" s="8" t="s">
        <v>9</v>
      </c>
      <c r="AU473" s="8" t="s">
        <v>10</v>
      </c>
      <c r="AV473" s="8" t="s">
        <v>11</v>
      </c>
      <c r="AX473" s="8" t="s">
        <v>1</v>
      </c>
      <c r="AY473" s="5" t="s">
        <v>2</v>
      </c>
      <c r="AZ473" s="8" t="s">
        <v>3</v>
      </c>
      <c r="BA473" s="8" t="s">
        <v>9</v>
      </c>
      <c r="BB473" s="8" t="s">
        <v>10</v>
      </c>
      <c r="BC473" s="8" t="s">
        <v>11</v>
      </c>
      <c r="BE473" s="8" t="s">
        <v>1</v>
      </c>
      <c r="BF473" s="5" t="s">
        <v>2</v>
      </c>
      <c r="BG473" s="8" t="s">
        <v>3</v>
      </c>
      <c r="BH473" s="8" t="s">
        <v>9</v>
      </c>
      <c r="BI473" s="8" t="s">
        <v>10</v>
      </c>
      <c r="BJ473" s="8" t="s">
        <v>11</v>
      </c>
      <c r="BL473" s="8" t="s">
        <v>1</v>
      </c>
      <c r="BM473" s="5" t="s">
        <v>2</v>
      </c>
      <c r="BN473" s="8" t="s">
        <v>3</v>
      </c>
      <c r="BO473" s="8" t="s">
        <v>9</v>
      </c>
      <c r="BP473" s="8" t="s">
        <v>10</v>
      </c>
      <c r="BQ473" s="8" t="s">
        <v>11</v>
      </c>
      <c r="BS473" s="8" t="s">
        <v>1</v>
      </c>
      <c r="BT473" s="5" t="s">
        <v>2</v>
      </c>
      <c r="BU473" s="8" t="s">
        <v>3</v>
      </c>
      <c r="BV473" s="8" t="s">
        <v>9</v>
      </c>
      <c r="BW473" s="8" t="s">
        <v>10</v>
      </c>
      <c r="BX473" s="8" t="s">
        <v>11</v>
      </c>
      <c r="BZ473" s="8" t="s">
        <v>1</v>
      </c>
      <c r="CA473" s="5" t="s">
        <v>2</v>
      </c>
      <c r="CB473" s="8" t="s">
        <v>3</v>
      </c>
      <c r="CC473" s="8" t="s">
        <v>9</v>
      </c>
      <c r="CD473" s="8" t="s">
        <v>10</v>
      </c>
      <c r="CE473" s="8" t="s">
        <v>11</v>
      </c>
    </row>
    <row r="474" spans="1:83" ht="34.200000000000003" customHeight="1">
      <c r="A474" s="463" t="s">
        <v>1138</v>
      </c>
      <c r="B474" s="459" t="s">
        <v>1137</v>
      </c>
      <c r="C474" s="9" t="s">
        <v>42</v>
      </c>
      <c r="D474" s="11">
        <f>1*1.05</f>
        <v>1.05</v>
      </c>
      <c r="E474" s="12">
        <f>MATERIALES!E207</f>
        <v>134.57</v>
      </c>
      <c r="F474" s="13">
        <f>D474*E474</f>
        <v>141.29849999999999</v>
      </c>
      <c r="H474" s="463" t="s">
        <v>1322</v>
      </c>
      <c r="I474" s="10" t="s">
        <v>1320</v>
      </c>
      <c r="J474" s="9" t="s">
        <v>42</v>
      </c>
      <c r="K474" s="11">
        <f>1*1.05</f>
        <v>1.05</v>
      </c>
      <c r="L474" s="12">
        <f>MATERIALES!E215</f>
        <v>169</v>
      </c>
      <c r="M474" s="13">
        <f>K474*L474</f>
        <v>177.45000000000002</v>
      </c>
      <c r="O474" s="463" t="s">
        <v>1323</v>
      </c>
      <c r="P474" s="459" t="s">
        <v>1321</v>
      </c>
      <c r="Q474" s="463" t="s">
        <v>833</v>
      </c>
      <c r="R474" s="11">
        <f>1*1.05</f>
        <v>1.05</v>
      </c>
      <c r="S474" s="12">
        <f>MATERIALES!E216</f>
        <v>39</v>
      </c>
      <c r="T474" s="13">
        <f>R474*S474</f>
        <v>40.950000000000003</v>
      </c>
      <c r="V474" s="463" t="s">
        <v>15</v>
      </c>
      <c r="W474" s="10" t="s">
        <v>67</v>
      </c>
      <c r="X474" s="463" t="s">
        <v>308</v>
      </c>
      <c r="Y474" s="11">
        <f>(20*1.05)/1000</f>
        <v>2.1000000000000001E-2</v>
      </c>
      <c r="Z474" s="12">
        <f>MATERIALES!E15</f>
        <v>10</v>
      </c>
      <c r="AA474" s="13">
        <f>Y474*Z474</f>
        <v>0.21000000000000002</v>
      </c>
      <c r="AC474" s="463" t="s">
        <v>993</v>
      </c>
      <c r="AD474" s="10" t="s">
        <v>1024</v>
      </c>
      <c r="AE474" s="463" t="s">
        <v>58</v>
      </c>
      <c r="AF474" s="27">
        <f>OPERACIONES!E30</f>
        <v>1.1052631578947369E-2</v>
      </c>
      <c r="AG474" s="12">
        <f>MATERIALES!E191</f>
        <v>775.86</v>
      </c>
      <c r="AH474" s="13">
        <f>AF474*AG474</f>
        <v>8.5752947368421069</v>
      </c>
      <c r="AJ474" s="463" t="s">
        <v>15</v>
      </c>
      <c r="AK474" s="10" t="s">
        <v>67</v>
      </c>
      <c r="AL474" s="463" t="s">
        <v>308</v>
      </c>
      <c r="AM474" s="11">
        <f>(20*1.05)/1000</f>
        <v>2.1000000000000001E-2</v>
      </c>
      <c r="AN474" s="12">
        <f>MATERIALES!E15</f>
        <v>10</v>
      </c>
      <c r="AO474" s="13">
        <f>AM474*AN474</f>
        <v>0.21000000000000002</v>
      </c>
      <c r="AQ474" s="463" t="s">
        <v>992</v>
      </c>
      <c r="AR474" s="10" t="s">
        <v>1024</v>
      </c>
      <c r="AS474" s="463" t="s">
        <v>58</v>
      </c>
      <c r="AT474" s="27">
        <f>OPERACIONES!E43</f>
        <v>1.1052631578947369E-2</v>
      </c>
      <c r="AU474" s="12">
        <f>MATERIALES!E190</f>
        <v>775.86</v>
      </c>
      <c r="AV474" s="13">
        <f>AT474*AU474</f>
        <v>8.5752947368421069</v>
      </c>
      <c r="AX474" s="463" t="s">
        <v>993</v>
      </c>
      <c r="AY474" s="10" t="s">
        <v>1024</v>
      </c>
      <c r="AZ474" s="463" t="s">
        <v>58</v>
      </c>
      <c r="BA474" s="27">
        <f>OPERACIONES!E47</f>
        <v>1.1052631578947369E-2</v>
      </c>
      <c r="BB474" s="12">
        <f>MATERIALES!E191</f>
        <v>775.86</v>
      </c>
      <c r="BC474" s="13">
        <f>BA474*BB474</f>
        <v>8.5752947368421069</v>
      </c>
      <c r="BE474" s="463" t="s">
        <v>989</v>
      </c>
      <c r="BF474" s="10" t="s">
        <v>60</v>
      </c>
      <c r="BG474" s="9" t="s">
        <v>42</v>
      </c>
      <c r="BH474" s="11">
        <f>1*1.05</f>
        <v>1.05</v>
      </c>
      <c r="BI474" s="12">
        <f>MATERIALES!E187</f>
        <v>214.66</v>
      </c>
      <c r="BJ474" s="13">
        <f>BH474*BI474</f>
        <v>225.393</v>
      </c>
      <c r="BL474" s="463" t="s">
        <v>990</v>
      </c>
      <c r="BM474" s="459" t="s">
        <v>1145</v>
      </c>
      <c r="BN474" s="9" t="s">
        <v>42</v>
      </c>
      <c r="BO474" s="11">
        <f>1*1.05</f>
        <v>1.05</v>
      </c>
      <c r="BP474" s="12">
        <f>MATERIALES!E188</f>
        <v>206.03</v>
      </c>
      <c r="BQ474" s="13">
        <f>BO474*BP474</f>
        <v>216.33150000000001</v>
      </c>
      <c r="BS474" s="463" t="s">
        <v>990</v>
      </c>
      <c r="BT474" s="459" t="s">
        <v>1145</v>
      </c>
      <c r="BU474" s="9" t="s">
        <v>42</v>
      </c>
      <c r="BV474" s="11">
        <f>1*1.05</f>
        <v>1.05</v>
      </c>
      <c r="BW474" s="12">
        <f>MATERIALES!E189</f>
        <v>206.03</v>
      </c>
      <c r="BX474" s="13">
        <f>BV474*BW474</f>
        <v>216.33150000000001</v>
      </c>
      <c r="BZ474" s="463" t="s">
        <v>56</v>
      </c>
      <c r="CA474" s="10" t="s">
        <v>57</v>
      </c>
      <c r="CB474" s="9" t="s">
        <v>58</v>
      </c>
      <c r="CC474" s="11">
        <v>0.18</v>
      </c>
      <c r="CD474" s="12">
        <f>MATERIALES!E113</f>
        <v>1573.55</v>
      </c>
      <c r="CE474" s="13">
        <f>CC474*CD474</f>
        <v>283.23899999999998</v>
      </c>
    </row>
    <row r="475" spans="1:83" ht="15" customHeight="1">
      <c r="A475" s="466" t="s">
        <v>62</v>
      </c>
      <c r="B475" s="17" t="s">
        <v>63</v>
      </c>
      <c r="C475" s="16" t="s">
        <v>64</v>
      </c>
      <c r="D475" s="530">
        <f>1/200</f>
        <v>5.0000000000000001E-3</v>
      </c>
      <c r="E475" s="19">
        <f>MATERIALES!E186</f>
        <v>73</v>
      </c>
      <c r="F475" s="20">
        <f>D475*E475</f>
        <v>0.36499999999999999</v>
      </c>
      <c r="H475" s="16" t="s">
        <v>62</v>
      </c>
      <c r="I475" s="17" t="s">
        <v>63</v>
      </c>
      <c r="J475" s="16" t="s">
        <v>64</v>
      </c>
      <c r="K475" s="530">
        <f>1/200</f>
        <v>5.0000000000000001E-3</v>
      </c>
      <c r="L475" s="19">
        <f>MATERIALES!E186</f>
        <v>73</v>
      </c>
      <c r="M475" s="20">
        <f>K475*L475</f>
        <v>0.36499999999999999</v>
      </c>
      <c r="O475" s="16" t="s">
        <v>62</v>
      </c>
      <c r="P475" s="17" t="s">
        <v>63</v>
      </c>
      <c r="Q475" s="16" t="s">
        <v>64</v>
      </c>
      <c r="R475" s="530">
        <f>1/200</f>
        <v>5.0000000000000001E-3</v>
      </c>
      <c r="S475" s="19">
        <f>MATERIALES!E186</f>
        <v>73</v>
      </c>
      <c r="T475" s="20">
        <f>R475*S475</f>
        <v>0.36499999999999999</v>
      </c>
      <c r="V475" s="466"/>
      <c r="W475" s="460"/>
      <c r="X475" s="466"/>
      <c r="Y475" s="18"/>
      <c r="Z475" s="19"/>
      <c r="AA475" s="472"/>
      <c r="AC475" s="466" t="s">
        <v>15</v>
      </c>
      <c r="AD475" s="460" t="s">
        <v>67</v>
      </c>
      <c r="AE475" s="466" t="s">
        <v>17</v>
      </c>
      <c r="AF475" s="18">
        <f>OPERACIONES!C32</f>
        <v>1.155E-4</v>
      </c>
      <c r="AG475" s="19">
        <f>MATERIALES!E15</f>
        <v>10</v>
      </c>
      <c r="AH475" s="472">
        <f>AF475*AG475</f>
        <v>1.155E-3</v>
      </c>
      <c r="AJ475" s="466"/>
      <c r="AK475" s="460"/>
      <c r="AL475" s="466"/>
      <c r="AM475" s="18"/>
      <c r="AN475" s="19"/>
      <c r="AO475" s="472"/>
      <c r="AQ475" s="466" t="s">
        <v>15</v>
      </c>
      <c r="AR475" s="460" t="s">
        <v>67</v>
      </c>
      <c r="AS475" s="466" t="s">
        <v>17</v>
      </c>
      <c r="AT475" s="18">
        <f>OPERACIONES!C45</f>
        <v>1.155E-4</v>
      </c>
      <c r="AU475" s="19">
        <f>MATERIALES!E15</f>
        <v>10</v>
      </c>
      <c r="AV475" s="472">
        <f>AT475*AU475</f>
        <v>1.155E-3</v>
      </c>
      <c r="AX475" s="466" t="s">
        <v>15</v>
      </c>
      <c r="AY475" s="460" t="s">
        <v>67</v>
      </c>
      <c r="AZ475" s="466" t="s">
        <v>17</v>
      </c>
      <c r="BA475" s="18">
        <f>OPERACIONES!C49</f>
        <v>1.155E-4</v>
      </c>
      <c r="BB475" s="19">
        <f>MATERIALES!E15</f>
        <v>10</v>
      </c>
      <c r="BC475" s="472">
        <f>BA475*BB475</f>
        <v>1.155E-3</v>
      </c>
      <c r="BE475" s="466" t="s">
        <v>62</v>
      </c>
      <c r="BF475" s="17" t="s">
        <v>63</v>
      </c>
      <c r="BG475" s="16" t="s">
        <v>64</v>
      </c>
      <c r="BH475" s="18">
        <f>1/200</f>
        <v>5.0000000000000001E-3</v>
      </c>
      <c r="BI475" s="19">
        <f>MATERIALES!E186</f>
        <v>73</v>
      </c>
      <c r="BJ475" s="20">
        <f>BH475*BI475</f>
        <v>0.36499999999999999</v>
      </c>
      <c r="BL475" s="466" t="s">
        <v>62</v>
      </c>
      <c r="BM475" s="17" t="s">
        <v>63</v>
      </c>
      <c r="BN475" s="16" t="s">
        <v>64</v>
      </c>
      <c r="BO475" s="18">
        <f>1/200</f>
        <v>5.0000000000000001E-3</v>
      </c>
      <c r="BP475" s="19">
        <f>MATERIALES!E186</f>
        <v>73</v>
      </c>
      <c r="BQ475" s="20">
        <f>BO475*BP475</f>
        <v>0.36499999999999999</v>
      </c>
      <c r="BS475" s="466" t="s">
        <v>62</v>
      </c>
      <c r="BT475" s="17" t="s">
        <v>63</v>
      </c>
      <c r="BU475" s="16" t="s">
        <v>64</v>
      </c>
      <c r="BV475" s="18">
        <f>1/200</f>
        <v>5.0000000000000001E-3</v>
      </c>
      <c r="BW475" s="19">
        <f>MATERIALES!E186</f>
        <v>73</v>
      </c>
      <c r="BX475" s="20">
        <f>BV475*BW475</f>
        <v>0.36499999999999999</v>
      </c>
      <c r="BZ475" s="466" t="s">
        <v>15</v>
      </c>
      <c r="CA475" s="17" t="s">
        <v>61</v>
      </c>
      <c r="CB475" s="16" t="s">
        <v>17</v>
      </c>
      <c r="CC475" s="18">
        <v>1.5E-3</v>
      </c>
      <c r="CD475" s="20">
        <f>MATERIALES!E15</f>
        <v>10</v>
      </c>
      <c r="CE475" s="20">
        <f>CC475*CD475</f>
        <v>1.4999999999999999E-2</v>
      </c>
    </row>
    <row r="476" spans="1:83" ht="15" customHeight="1">
      <c r="A476" s="466" t="s">
        <v>15</v>
      </c>
      <c r="B476" s="17" t="s">
        <v>67</v>
      </c>
      <c r="C476" s="16" t="s">
        <v>17</v>
      </c>
      <c r="D476" s="531">
        <f>(1.5*1.05)/1000</f>
        <v>1.5750000000000002E-3</v>
      </c>
      <c r="E476" s="20">
        <f>MATERIALES!E15</f>
        <v>10</v>
      </c>
      <c r="F476" s="20">
        <f>D476*E476</f>
        <v>1.5750000000000004E-2</v>
      </c>
      <c r="H476" s="16" t="s">
        <v>15</v>
      </c>
      <c r="I476" s="17" t="s">
        <v>67</v>
      </c>
      <c r="J476" s="16" t="s">
        <v>17</v>
      </c>
      <c r="K476" s="531">
        <f>(1.5*1.05)/1000</f>
        <v>1.5750000000000002E-3</v>
      </c>
      <c r="L476" s="20">
        <f>MATERIALES!E15</f>
        <v>10</v>
      </c>
      <c r="M476" s="20">
        <f>K476*L476</f>
        <v>1.5750000000000004E-2</v>
      </c>
      <c r="O476" s="16" t="s">
        <v>15</v>
      </c>
      <c r="P476" s="17" t="s">
        <v>67</v>
      </c>
      <c r="Q476" s="16" t="s">
        <v>17</v>
      </c>
      <c r="R476" s="531">
        <f>(1.5*1.05)/1000</f>
        <v>1.5750000000000002E-3</v>
      </c>
      <c r="S476" s="20">
        <f>MATERIALES!E15</f>
        <v>10</v>
      </c>
      <c r="T476" s="20">
        <f>R476*S476</f>
        <v>1.5750000000000004E-2</v>
      </c>
      <c r="V476" s="466"/>
      <c r="W476" s="460"/>
      <c r="X476" s="466"/>
      <c r="Y476" s="30"/>
      <c r="Z476" s="20"/>
      <c r="AA476" s="20"/>
      <c r="AC476" s="466" t="s">
        <v>519</v>
      </c>
      <c r="AD476" s="460" t="s">
        <v>1031</v>
      </c>
      <c r="AE476" s="466" t="s">
        <v>64</v>
      </c>
      <c r="AF476" s="30">
        <f>1/30</f>
        <v>3.3333333333333333E-2</v>
      </c>
      <c r="AG476" s="20">
        <f>MATERIALES!E88</f>
        <v>43.1</v>
      </c>
      <c r="AH476" s="20">
        <f>AF476*AG476</f>
        <v>1.4366666666666668</v>
      </c>
      <c r="AJ476" s="466"/>
      <c r="AK476" s="460"/>
      <c r="AL476" s="466"/>
      <c r="AM476" s="30"/>
      <c r="AN476" s="20"/>
      <c r="AO476" s="20"/>
      <c r="AQ476" s="466" t="s">
        <v>519</v>
      </c>
      <c r="AR476" s="460" t="s">
        <v>1031</v>
      </c>
      <c r="AS476" s="466" t="s">
        <v>64</v>
      </c>
      <c r="AT476" s="30">
        <f>1/30</f>
        <v>3.3333333333333333E-2</v>
      </c>
      <c r="AU476" s="20">
        <f>MATERIALES!E88</f>
        <v>43.1</v>
      </c>
      <c r="AV476" s="20">
        <f>AT476*AU476</f>
        <v>1.4366666666666668</v>
      </c>
      <c r="AX476" s="466" t="s">
        <v>519</v>
      </c>
      <c r="AY476" s="460" t="s">
        <v>1031</v>
      </c>
      <c r="AZ476" s="466" t="s">
        <v>64</v>
      </c>
      <c r="BA476" s="30">
        <f>1/30</f>
        <v>3.3333333333333333E-2</v>
      </c>
      <c r="BB476" s="20">
        <f>MATERIALES!E88</f>
        <v>43.1</v>
      </c>
      <c r="BC476" s="20">
        <f>BA476*BB476</f>
        <v>1.4366666666666668</v>
      </c>
      <c r="BE476" s="466" t="s">
        <v>15</v>
      </c>
      <c r="BF476" s="17" t="s">
        <v>67</v>
      </c>
      <c r="BG476" s="16" t="s">
        <v>17</v>
      </c>
      <c r="BH476" s="18">
        <f>1.5/1000</f>
        <v>1.5E-3</v>
      </c>
      <c r="BI476" s="20">
        <f>MATERIALES!E15</f>
        <v>10</v>
      </c>
      <c r="BJ476" s="20">
        <f>BH476*BI476</f>
        <v>1.4999999999999999E-2</v>
      </c>
      <c r="BL476" s="466" t="s">
        <v>15</v>
      </c>
      <c r="BM476" s="17" t="s">
        <v>67</v>
      </c>
      <c r="BN476" s="16" t="s">
        <v>17</v>
      </c>
      <c r="BO476" s="18">
        <f>1.5/1000</f>
        <v>1.5E-3</v>
      </c>
      <c r="BP476" s="20">
        <f>MATERIALES!E15</f>
        <v>10</v>
      </c>
      <c r="BQ476" s="20">
        <f>BO476*BP476</f>
        <v>1.4999999999999999E-2</v>
      </c>
      <c r="BS476" s="466" t="s">
        <v>15</v>
      </c>
      <c r="BT476" s="17" t="s">
        <v>67</v>
      </c>
      <c r="BU476" s="16" t="s">
        <v>17</v>
      </c>
      <c r="BV476" s="18">
        <f>1.5/1000</f>
        <v>1.5E-3</v>
      </c>
      <c r="BW476" s="20">
        <f>MATERIALES!E15</f>
        <v>10</v>
      </c>
      <c r="BX476" s="20">
        <f>BV476*BW476</f>
        <v>1.4999999999999999E-2</v>
      </c>
      <c r="BZ476" s="466" t="s">
        <v>65</v>
      </c>
      <c r="CA476" s="17" t="s">
        <v>66</v>
      </c>
      <c r="CB476" s="16" t="s">
        <v>64</v>
      </c>
      <c r="CC476" s="18">
        <f>1/200</f>
        <v>5.0000000000000001E-3</v>
      </c>
      <c r="CD476" s="20">
        <f>MATERIALES!E111</f>
        <v>50</v>
      </c>
      <c r="CE476" s="20">
        <f>CC476*CD476</f>
        <v>0.25</v>
      </c>
    </row>
    <row r="477" spans="1:83" ht="15" customHeight="1">
      <c r="A477" s="21"/>
      <c r="B477" s="22"/>
      <c r="C477" s="21"/>
      <c r="D477" s="21"/>
      <c r="E477" s="20"/>
      <c r="F477" s="20"/>
      <c r="H477" s="21"/>
      <c r="I477" s="22"/>
      <c r="J477" s="21"/>
      <c r="K477" s="21"/>
      <c r="L477" s="20"/>
      <c r="M477" s="20"/>
      <c r="O477" s="21"/>
      <c r="P477" s="22"/>
      <c r="Q477" s="21"/>
      <c r="R477" s="21"/>
      <c r="S477" s="20"/>
      <c r="T477" s="20"/>
      <c r="V477" s="462"/>
      <c r="W477" s="461"/>
      <c r="X477" s="462"/>
      <c r="Y477" s="21"/>
      <c r="Z477" s="20"/>
      <c r="AA477" s="20"/>
      <c r="AC477" s="462" t="s">
        <v>1027</v>
      </c>
      <c r="AD477" s="461" t="s">
        <v>1025</v>
      </c>
      <c r="AE477" s="462" t="s">
        <v>42</v>
      </c>
      <c r="AF477" s="21">
        <f>1/10</f>
        <v>0.1</v>
      </c>
      <c r="AG477" s="20">
        <f>MATERIALES!E197</f>
        <v>15</v>
      </c>
      <c r="AH477" s="20">
        <f>AF477*AG477</f>
        <v>1.5</v>
      </c>
      <c r="AJ477" s="462"/>
      <c r="AK477" s="461"/>
      <c r="AL477" s="462"/>
      <c r="AM477" s="21"/>
      <c r="AN477" s="20"/>
      <c r="AO477" s="20"/>
      <c r="AQ477" s="462" t="s">
        <v>1027</v>
      </c>
      <c r="AR477" s="461" t="s">
        <v>1025</v>
      </c>
      <c r="AS477" s="462" t="s">
        <v>42</v>
      </c>
      <c r="AT477" s="21">
        <f>1/10</f>
        <v>0.1</v>
      </c>
      <c r="AU477" s="20">
        <f>MATERIALES!E197</f>
        <v>15</v>
      </c>
      <c r="AV477" s="20">
        <f>AT477*AU477</f>
        <v>1.5</v>
      </c>
      <c r="AX477" s="462" t="s">
        <v>1027</v>
      </c>
      <c r="AY477" s="461" t="s">
        <v>1025</v>
      </c>
      <c r="AZ477" s="462" t="s">
        <v>42</v>
      </c>
      <c r="BA477" s="21">
        <f>1/10</f>
        <v>0.1</v>
      </c>
      <c r="BB477" s="20">
        <f>MATERIALES!E197</f>
        <v>15</v>
      </c>
      <c r="BC477" s="20">
        <f>BA477*BB477</f>
        <v>1.5</v>
      </c>
      <c r="BE477" s="21"/>
      <c r="BF477" s="22"/>
      <c r="BG477" s="21"/>
      <c r="BH477" s="21"/>
      <c r="BI477" s="20"/>
      <c r="BJ477" s="20"/>
      <c r="BL477" s="462" t="s">
        <v>644</v>
      </c>
      <c r="BM477" s="461" t="s">
        <v>1146</v>
      </c>
      <c r="BN477" s="462" t="s">
        <v>39</v>
      </c>
      <c r="BO477" s="21">
        <f>(1*1*0.015)*1.05</f>
        <v>1.575E-2</v>
      </c>
      <c r="BP477" s="20">
        <f>MATERIALES!E217</f>
        <v>6.21</v>
      </c>
      <c r="BQ477" s="20">
        <f>BO477*BP477</f>
        <v>9.7807500000000006E-2</v>
      </c>
      <c r="BS477" s="462" t="s">
        <v>644</v>
      </c>
      <c r="BT477" s="461" t="s">
        <v>1146</v>
      </c>
      <c r="BU477" s="462" t="s">
        <v>39</v>
      </c>
      <c r="BV477" s="21">
        <f>(1*1*0.015)*1.05</f>
        <v>1.575E-2</v>
      </c>
      <c r="BW477" s="20">
        <f>MATERIALES!E217</f>
        <v>6.21</v>
      </c>
      <c r="BX477" s="20">
        <f>BV477*BW477</f>
        <v>9.7807500000000006E-2</v>
      </c>
      <c r="BZ477" s="21"/>
      <c r="CA477" s="22"/>
      <c r="CB477" s="21"/>
      <c r="CC477" s="21"/>
      <c r="CD477" s="20"/>
      <c r="CE477" s="20"/>
    </row>
    <row r="478" spans="1:83" ht="15" customHeight="1">
      <c r="A478" s="21"/>
      <c r="B478" s="22"/>
      <c r="C478" s="21"/>
      <c r="D478" s="21"/>
      <c r="E478" s="20"/>
      <c r="F478" s="20"/>
      <c r="H478" s="21"/>
      <c r="I478" s="22"/>
      <c r="J478" s="21"/>
      <c r="K478" s="21"/>
      <c r="L478" s="20"/>
      <c r="M478" s="20"/>
      <c r="O478" s="21"/>
      <c r="P478" s="22"/>
      <c r="Q478" s="21"/>
      <c r="R478" s="21"/>
      <c r="S478" s="20"/>
      <c r="T478" s="20"/>
      <c r="V478" s="21"/>
      <c r="W478" s="22"/>
      <c r="X478" s="21"/>
      <c r="Y478" s="21"/>
      <c r="Z478" s="20"/>
      <c r="AA478" s="20"/>
      <c r="AC478" s="21"/>
      <c r="AD478" s="22"/>
      <c r="AE478" s="21"/>
      <c r="AF478" s="21"/>
      <c r="AG478" s="20"/>
      <c r="AH478" s="20"/>
      <c r="AJ478" s="21"/>
      <c r="AK478" s="22"/>
      <c r="AL478" s="21"/>
      <c r="AM478" s="21"/>
      <c r="AN478" s="20"/>
      <c r="AO478" s="20"/>
      <c r="AQ478" s="21"/>
      <c r="AR478" s="22"/>
      <c r="AS478" s="21"/>
      <c r="AT478" s="21"/>
      <c r="AU478" s="20"/>
      <c r="AV478" s="20"/>
      <c r="AX478" s="21"/>
      <c r="AY478" s="22"/>
      <c r="AZ478" s="21"/>
      <c r="BA478" s="21"/>
      <c r="BB478" s="20"/>
      <c r="BC478" s="20"/>
      <c r="BE478" s="21"/>
      <c r="BF478" s="22"/>
      <c r="BG478" s="21"/>
      <c r="BH478" s="21"/>
      <c r="BI478" s="20"/>
      <c r="BJ478" s="20"/>
      <c r="BL478" s="21"/>
      <c r="BM478" s="22"/>
      <c r="BN478" s="21"/>
      <c r="BO478" s="21"/>
      <c r="BP478" s="20"/>
      <c r="BQ478" s="20"/>
      <c r="BS478" s="21"/>
      <c r="BT478" s="22"/>
      <c r="BU478" s="21"/>
      <c r="BV478" s="21"/>
      <c r="BW478" s="20"/>
      <c r="BX478" s="20"/>
      <c r="BZ478" s="21"/>
      <c r="CA478" s="22"/>
      <c r="CB478" s="21"/>
      <c r="CC478" s="21"/>
      <c r="CD478" s="20"/>
      <c r="CE478" s="20"/>
    </row>
    <row r="479" spans="1:83" ht="15" customHeight="1">
      <c r="A479" s="21"/>
      <c r="B479" s="22"/>
      <c r="C479" s="21"/>
      <c r="D479" s="21"/>
      <c r="E479" s="20"/>
      <c r="F479" s="20"/>
      <c r="H479" s="21"/>
      <c r="I479" s="22"/>
      <c r="J479" s="21"/>
      <c r="K479" s="21"/>
      <c r="L479" s="20"/>
      <c r="M479" s="20"/>
      <c r="O479" s="21"/>
      <c r="P479" s="22"/>
      <c r="Q479" s="21"/>
      <c r="R479" s="21"/>
      <c r="S479" s="20"/>
      <c r="T479" s="20"/>
      <c r="V479" s="21"/>
      <c r="W479" s="22"/>
      <c r="X479" s="21"/>
      <c r="Y479" s="21"/>
      <c r="Z479" s="20"/>
      <c r="AA479" s="20"/>
      <c r="AC479" s="21"/>
      <c r="AD479" s="22"/>
      <c r="AE479" s="21"/>
      <c r="AF479" s="21"/>
      <c r="AG479" s="20"/>
      <c r="AH479" s="20"/>
      <c r="AJ479" s="21"/>
      <c r="AK479" s="22"/>
      <c r="AL479" s="21"/>
      <c r="AM479" s="21"/>
      <c r="AN479" s="20"/>
      <c r="AO479" s="20"/>
      <c r="AQ479" s="21"/>
      <c r="AR479" s="22"/>
      <c r="AS479" s="21"/>
      <c r="AT479" s="21"/>
      <c r="AU479" s="20"/>
      <c r="AV479" s="20"/>
      <c r="AX479" s="21"/>
      <c r="AY479" s="22"/>
      <c r="AZ479" s="21"/>
      <c r="BA479" s="21"/>
      <c r="BB479" s="20"/>
      <c r="BC479" s="20"/>
      <c r="BE479" s="21"/>
      <c r="BF479" s="22"/>
      <c r="BG479" s="21"/>
      <c r="BH479" s="21"/>
      <c r="BI479" s="20"/>
      <c r="BJ479" s="20"/>
      <c r="BL479" s="21"/>
      <c r="BM479" s="22"/>
      <c r="BN479" s="21"/>
      <c r="BO479" s="21"/>
      <c r="BP479" s="20"/>
      <c r="BQ479" s="20"/>
      <c r="BS479" s="21"/>
      <c r="BT479" s="22"/>
      <c r="BU479" s="21"/>
      <c r="BV479" s="21"/>
      <c r="BW479" s="20"/>
      <c r="BX479" s="20"/>
      <c r="BZ479" s="21"/>
      <c r="CA479" s="22"/>
      <c r="CB479" s="21"/>
      <c r="CC479" s="21"/>
      <c r="CD479" s="20"/>
      <c r="CE479" s="20"/>
    </row>
    <row r="480" spans="1:83" ht="15" customHeight="1" thickBot="1">
      <c r="A480" s="23"/>
      <c r="B480" s="24"/>
      <c r="C480" s="23"/>
      <c r="D480" s="23"/>
      <c r="E480" s="25"/>
      <c r="F480" s="25"/>
      <c r="H480" s="23"/>
      <c r="I480" s="24"/>
      <c r="J480" s="23"/>
      <c r="K480" s="23"/>
      <c r="L480" s="25"/>
      <c r="M480" s="25"/>
      <c r="O480" s="23"/>
      <c r="P480" s="24"/>
      <c r="Q480" s="23"/>
      <c r="R480" s="23"/>
      <c r="S480" s="25"/>
      <c r="T480" s="25"/>
      <c r="V480" s="23"/>
      <c r="W480" s="24"/>
      <c r="X480" s="23"/>
      <c r="Y480" s="23"/>
      <c r="Z480" s="25"/>
      <c r="AA480" s="25"/>
      <c r="AC480" s="23"/>
      <c r="AD480" s="24"/>
      <c r="AE480" s="23"/>
      <c r="AF480" s="23"/>
      <c r="AG480" s="25"/>
      <c r="AH480" s="25"/>
      <c r="AJ480" s="23"/>
      <c r="AK480" s="24"/>
      <c r="AL480" s="23"/>
      <c r="AM480" s="23"/>
      <c r="AN480" s="25"/>
      <c r="AO480" s="25"/>
      <c r="AQ480" s="23"/>
      <c r="AR480" s="24"/>
      <c r="AS480" s="23"/>
      <c r="AT480" s="23"/>
      <c r="AU480" s="25"/>
      <c r="AV480" s="25"/>
      <c r="AX480" s="23"/>
      <c r="AY480" s="24"/>
      <c r="AZ480" s="23"/>
      <c r="BA480" s="23"/>
      <c r="BB480" s="25"/>
      <c r="BC480" s="25"/>
      <c r="BE480" s="23"/>
      <c r="BF480" s="24"/>
      <c r="BG480" s="23"/>
      <c r="BH480" s="23"/>
      <c r="BI480" s="25"/>
      <c r="BJ480" s="25"/>
      <c r="BL480" s="23"/>
      <c r="BM480" s="24"/>
      <c r="BN480" s="23"/>
      <c r="BO480" s="23"/>
      <c r="BP480" s="25"/>
      <c r="BQ480" s="25"/>
      <c r="BS480" s="23"/>
      <c r="BT480" s="24"/>
      <c r="BU480" s="23"/>
      <c r="BV480" s="23"/>
      <c r="BW480" s="25"/>
      <c r="BX480" s="25"/>
      <c r="BZ480" s="23"/>
      <c r="CA480" s="24"/>
      <c r="CB480" s="23"/>
      <c r="CC480" s="23"/>
      <c r="CD480" s="25"/>
      <c r="CE480" s="25"/>
    </row>
    <row r="481" spans="1:83" ht="15" customHeight="1" thickBot="1">
      <c r="A481" s="708" t="s">
        <v>18</v>
      </c>
      <c r="B481" s="709"/>
      <c r="C481" s="709"/>
      <c r="D481" s="709"/>
      <c r="E481" s="710"/>
      <c r="F481" s="26">
        <f>SUM(F474:F480)</f>
        <v>141.67925</v>
      </c>
      <c r="H481" s="708" t="s">
        <v>18</v>
      </c>
      <c r="I481" s="709"/>
      <c r="J481" s="709"/>
      <c r="K481" s="709"/>
      <c r="L481" s="710"/>
      <c r="M481" s="26">
        <f>SUM(M474:M480)</f>
        <v>177.83075000000002</v>
      </c>
      <c r="O481" s="708" t="s">
        <v>18</v>
      </c>
      <c r="P481" s="709"/>
      <c r="Q481" s="709"/>
      <c r="R481" s="709"/>
      <c r="S481" s="710"/>
      <c r="T481" s="26">
        <f>SUM(T474:T480)</f>
        <v>41.330750000000002</v>
      </c>
      <c r="V481" s="708" t="s">
        <v>18</v>
      </c>
      <c r="W481" s="709"/>
      <c r="X481" s="709"/>
      <c r="Y481" s="709"/>
      <c r="Z481" s="710"/>
      <c r="AA481" s="26">
        <f>SUM(AA474:AA480)</f>
        <v>0.21000000000000002</v>
      </c>
      <c r="AC481" s="708" t="s">
        <v>18</v>
      </c>
      <c r="AD481" s="709"/>
      <c r="AE481" s="709"/>
      <c r="AF481" s="709"/>
      <c r="AG481" s="710"/>
      <c r="AH481" s="26">
        <f>SUM(AH474:AH480)</f>
        <v>11.513116403508775</v>
      </c>
      <c r="AJ481" s="708" t="s">
        <v>18</v>
      </c>
      <c r="AK481" s="709"/>
      <c r="AL481" s="709"/>
      <c r="AM481" s="709"/>
      <c r="AN481" s="710"/>
      <c r="AO481" s="26">
        <f>SUM(AO474:AO480)</f>
        <v>0.21000000000000002</v>
      </c>
      <c r="AQ481" s="708" t="s">
        <v>18</v>
      </c>
      <c r="AR481" s="709"/>
      <c r="AS481" s="709"/>
      <c r="AT481" s="709"/>
      <c r="AU481" s="710"/>
      <c r="AV481" s="26">
        <f>SUM(AV474:AV480)</f>
        <v>11.513116403508775</v>
      </c>
      <c r="AX481" s="708" t="s">
        <v>18</v>
      </c>
      <c r="AY481" s="709"/>
      <c r="AZ481" s="709"/>
      <c r="BA481" s="709"/>
      <c r="BB481" s="710"/>
      <c r="BC481" s="26">
        <f>SUM(BC474:BC480)</f>
        <v>11.513116403508775</v>
      </c>
      <c r="BE481" s="708" t="s">
        <v>18</v>
      </c>
      <c r="BF481" s="709"/>
      <c r="BG481" s="709"/>
      <c r="BH481" s="709"/>
      <c r="BI481" s="710"/>
      <c r="BJ481" s="26">
        <f>SUM(BJ474:BJ480)</f>
        <v>225.773</v>
      </c>
      <c r="BL481" s="708" t="s">
        <v>18</v>
      </c>
      <c r="BM481" s="709"/>
      <c r="BN481" s="709"/>
      <c r="BO481" s="709"/>
      <c r="BP481" s="710"/>
      <c r="BQ481" s="26">
        <f>SUM(BQ474:BQ480)</f>
        <v>216.80930749999999</v>
      </c>
      <c r="BS481" s="708" t="s">
        <v>18</v>
      </c>
      <c r="BT481" s="709"/>
      <c r="BU481" s="709"/>
      <c r="BV481" s="709"/>
      <c r="BW481" s="710"/>
      <c r="BX481" s="26">
        <f>SUM(BX474:BX480)</f>
        <v>216.80930749999999</v>
      </c>
      <c r="BZ481" s="708" t="s">
        <v>18</v>
      </c>
      <c r="CA481" s="709"/>
      <c r="CB481" s="709"/>
      <c r="CC481" s="709"/>
      <c r="CD481" s="710"/>
      <c r="CE481" s="26">
        <f>SUM(CE474:CE480)</f>
        <v>283.50399999999996</v>
      </c>
    </row>
    <row r="482" spans="1:83" ht="15" customHeight="1" thickBot="1">
      <c r="A482" s="711" t="s">
        <v>19</v>
      </c>
      <c r="B482" s="712"/>
      <c r="C482" s="712"/>
      <c r="D482" s="712"/>
      <c r="E482" s="712"/>
      <c r="F482" s="713"/>
      <c r="H482" s="711" t="s">
        <v>19</v>
      </c>
      <c r="I482" s="712"/>
      <c r="J482" s="712"/>
      <c r="K482" s="712"/>
      <c r="L482" s="712"/>
      <c r="M482" s="713"/>
      <c r="O482" s="711" t="s">
        <v>19</v>
      </c>
      <c r="P482" s="712"/>
      <c r="Q482" s="712"/>
      <c r="R482" s="712"/>
      <c r="S482" s="712"/>
      <c r="T482" s="713"/>
      <c r="V482" s="711" t="s">
        <v>19</v>
      </c>
      <c r="W482" s="712"/>
      <c r="X482" s="712"/>
      <c r="Y482" s="712"/>
      <c r="Z482" s="712"/>
      <c r="AA482" s="713"/>
      <c r="AC482" s="711" t="s">
        <v>19</v>
      </c>
      <c r="AD482" s="712"/>
      <c r="AE482" s="712"/>
      <c r="AF482" s="712"/>
      <c r="AG482" s="712"/>
      <c r="AH482" s="713"/>
      <c r="AJ482" s="711" t="s">
        <v>19</v>
      </c>
      <c r="AK482" s="712"/>
      <c r="AL482" s="712"/>
      <c r="AM482" s="712"/>
      <c r="AN482" s="712"/>
      <c r="AO482" s="713"/>
      <c r="AQ482" s="711" t="s">
        <v>19</v>
      </c>
      <c r="AR482" s="712"/>
      <c r="AS482" s="712"/>
      <c r="AT482" s="712"/>
      <c r="AU482" s="712"/>
      <c r="AV482" s="713"/>
      <c r="AX482" s="711" t="s">
        <v>19</v>
      </c>
      <c r="AY482" s="712"/>
      <c r="AZ482" s="712"/>
      <c r="BA482" s="712"/>
      <c r="BB482" s="712"/>
      <c r="BC482" s="713"/>
      <c r="BE482" s="711" t="s">
        <v>19</v>
      </c>
      <c r="BF482" s="712"/>
      <c r="BG482" s="712"/>
      <c r="BH482" s="712"/>
      <c r="BI482" s="712"/>
      <c r="BJ482" s="713"/>
      <c r="BL482" s="711" t="s">
        <v>19</v>
      </c>
      <c r="BM482" s="712"/>
      <c r="BN482" s="712"/>
      <c r="BO482" s="712"/>
      <c r="BP482" s="712"/>
      <c r="BQ482" s="713"/>
      <c r="BS482" s="711" t="s">
        <v>19</v>
      </c>
      <c r="BT482" s="712"/>
      <c r="BU482" s="712"/>
      <c r="BV482" s="712"/>
      <c r="BW482" s="712"/>
      <c r="BX482" s="713"/>
      <c r="BZ482" s="711" t="s">
        <v>19</v>
      </c>
      <c r="CA482" s="712"/>
      <c r="CB482" s="712"/>
      <c r="CC482" s="712"/>
      <c r="CD482" s="712"/>
      <c r="CE482" s="713"/>
    </row>
    <row r="483" spans="1:83" ht="15" customHeight="1" thickBot="1">
      <c r="A483" s="8" t="s">
        <v>1</v>
      </c>
      <c r="B483" s="5" t="s">
        <v>2</v>
      </c>
      <c r="C483" s="8" t="s">
        <v>3</v>
      </c>
      <c r="D483" s="8" t="s">
        <v>9</v>
      </c>
      <c r="E483" s="8" t="s">
        <v>10</v>
      </c>
      <c r="F483" s="8" t="s">
        <v>11</v>
      </c>
      <c r="H483" s="8" t="s">
        <v>1</v>
      </c>
      <c r="I483" s="5" t="s">
        <v>2</v>
      </c>
      <c r="J483" s="8" t="s">
        <v>3</v>
      </c>
      <c r="K483" s="8" t="s">
        <v>9</v>
      </c>
      <c r="L483" s="8" t="s">
        <v>10</v>
      </c>
      <c r="M483" s="8" t="s">
        <v>11</v>
      </c>
      <c r="O483" s="8" t="s">
        <v>1</v>
      </c>
      <c r="P483" s="5" t="s">
        <v>2</v>
      </c>
      <c r="Q483" s="8" t="s">
        <v>3</v>
      </c>
      <c r="R483" s="8" t="s">
        <v>9</v>
      </c>
      <c r="S483" s="8" t="s">
        <v>10</v>
      </c>
      <c r="T483" s="8" t="s">
        <v>11</v>
      </c>
      <c r="V483" s="8" t="s">
        <v>1</v>
      </c>
      <c r="W483" s="5" t="s">
        <v>2</v>
      </c>
      <c r="X483" s="8" t="s">
        <v>3</v>
      </c>
      <c r="Y483" s="8" t="s">
        <v>9</v>
      </c>
      <c r="Z483" s="8" t="s">
        <v>10</v>
      </c>
      <c r="AA483" s="8" t="s">
        <v>11</v>
      </c>
      <c r="AC483" s="8" t="s">
        <v>1</v>
      </c>
      <c r="AD483" s="5" t="s">
        <v>2</v>
      </c>
      <c r="AE483" s="8" t="s">
        <v>3</v>
      </c>
      <c r="AF483" s="8" t="s">
        <v>9</v>
      </c>
      <c r="AG483" s="8" t="s">
        <v>10</v>
      </c>
      <c r="AH483" s="8" t="s">
        <v>11</v>
      </c>
      <c r="AJ483" s="8" t="s">
        <v>1</v>
      </c>
      <c r="AK483" s="5" t="s">
        <v>2</v>
      </c>
      <c r="AL483" s="8" t="s">
        <v>3</v>
      </c>
      <c r="AM483" s="8" t="s">
        <v>9</v>
      </c>
      <c r="AN483" s="8" t="s">
        <v>10</v>
      </c>
      <c r="AO483" s="8" t="s">
        <v>11</v>
      </c>
      <c r="AQ483" s="8" t="s">
        <v>1</v>
      </c>
      <c r="AR483" s="5" t="s">
        <v>2</v>
      </c>
      <c r="AS483" s="8" t="s">
        <v>3</v>
      </c>
      <c r="AT483" s="8" t="s">
        <v>9</v>
      </c>
      <c r="AU483" s="8" t="s">
        <v>10</v>
      </c>
      <c r="AV483" s="8" t="s">
        <v>11</v>
      </c>
      <c r="AX483" s="8" t="s">
        <v>1</v>
      </c>
      <c r="AY483" s="5" t="s">
        <v>2</v>
      </c>
      <c r="AZ483" s="8" t="s">
        <v>3</v>
      </c>
      <c r="BA483" s="8" t="s">
        <v>9</v>
      </c>
      <c r="BB483" s="8" t="s">
        <v>10</v>
      </c>
      <c r="BC483" s="8" t="s">
        <v>11</v>
      </c>
      <c r="BE483" s="8" t="s">
        <v>1</v>
      </c>
      <c r="BF483" s="5" t="s">
        <v>2</v>
      </c>
      <c r="BG483" s="8" t="s">
        <v>3</v>
      </c>
      <c r="BH483" s="8" t="s">
        <v>9</v>
      </c>
      <c r="BI483" s="8" t="s">
        <v>10</v>
      </c>
      <c r="BJ483" s="8" t="s">
        <v>11</v>
      </c>
      <c r="BL483" s="8" t="s">
        <v>1</v>
      </c>
      <c r="BM483" s="5" t="s">
        <v>2</v>
      </c>
      <c r="BN483" s="8" t="s">
        <v>3</v>
      </c>
      <c r="BO483" s="8" t="s">
        <v>9</v>
      </c>
      <c r="BP483" s="8" t="s">
        <v>10</v>
      </c>
      <c r="BQ483" s="8" t="s">
        <v>11</v>
      </c>
      <c r="BS483" s="8" t="s">
        <v>1</v>
      </c>
      <c r="BT483" s="5" t="s">
        <v>2</v>
      </c>
      <c r="BU483" s="8" t="s">
        <v>3</v>
      </c>
      <c r="BV483" s="8" t="s">
        <v>9</v>
      </c>
      <c r="BW483" s="8" t="s">
        <v>10</v>
      </c>
      <c r="BX483" s="8" t="s">
        <v>11</v>
      </c>
      <c r="BZ483" s="8" t="s">
        <v>1</v>
      </c>
      <c r="CA483" s="5" t="s">
        <v>2</v>
      </c>
      <c r="CB483" s="8" t="s">
        <v>3</v>
      </c>
      <c r="CC483" s="8" t="s">
        <v>9</v>
      </c>
      <c r="CD483" s="8" t="s">
        <v>10</v>
      </c>
      <c r="CE483" s="8" t="s">
        <v>11</v>
      </c>
    </row>
    <row r="484" spans="1:83" ht="15" customHeight="1">
      <c r="A484" s="463" t="s">
        <v>277</v>
      </c>
      <c r="B484" s="10" t="s">
        <v>69</v>
      </c>
      <c r="C484" s="9" t="s">
        <v>21</v>
      </c>
      <c r="D484" s="27">
        <f>1/9.24</f>
        <v>0.10822510822510822</v>
      </c>
      <c r="E484" s="12">
        <f>'ANÁLISIS CUADRILLAS'!F21</f>
        <v>1160.5378059999998</v>
      </c>
      <c r="F484" s="13">
        <f>D484*E484</f>
        <v>125.59932965367963</v>
      </c>
      <c r="H484" s="463" t="s">
        <v>277</v>
      </c>
      <c r="I484" s="10" t="s">
        <v>69</v>
      </c>
      <c r="J484" s="9" t="s">
        <v>21</v>
      </c>
      <c r="K484" s="27">
        <f>1/45</f>
        <v>2.2222222222222223E-2</v>
      </c>
      <c r="L484" s="12">
        <f>'ANÁLISIS CUADRILLAS'!F21</f>
        <v>1160.5378059999998</v>
      </c>
      <c r="M484" s="13">
        <f>K484*L484</f>
        <v>25.789729022222218</v>
      </c>
      <c r="O484" s="463" t="s">
        <v>277</v>
      </c>
      <c r="P484" s="10" t="s">
        <v>69</v>
      </c>
      <c r="Q484" s="9" t="s">
        <v>21</v>
      </c>
      <c r="R484" s="27">
        <f>1/35</f>
        <v>2.8571428571428571E-2</v>
      </c>
      <c r="S484" s="12">
        <f>'ANÁLISIS CUADRILLAS'!F21</f>
        <v>1160.5378059999998</v>
      </c>
      <c r="T484" s="13">
        <f>R484*S484</f>
        <v>33.15822302857142</v>
      </c>
      <c r="V484" s="463" t="s">
        <v>1344</v>
      </c>
      <c r="W484" s="459" t="s">
        <v>1343</v>
      </c>
      <c r="X484" s="9" t="s">
        <v>21</v>
      </c>
      <c r="Y484" s="471">
        <f>1/27</f>
        <v>3.7037037037037035E-2</v>
      </c>
      <c r="Z484" s="12">
        <f>'ANÁLISIS CUADRILLAS'!F84</f>
        <v>1160.5378059999998</v>
      </c>
      <c r="AA484" s="13">
        <f>Y484*Z484</f>
        <v>42.982881703703697</v>
      </c>
      <c r="AC484" s="463" t="s">
        <v>272</v>
      </c>
      <c r="AD484" s="459" t="s">
        <v>1028</v>
      </c>
      <c r="AE484" s="9" t="s">
        <v>21</v>
      </c>
      <c r="AF484" s="471">
        <f>1/25</f>
        <v>0.04</v>
      </c>
      <c r="AG484" s="12">
        <f>'ANÁLISIS CUADRILLAS'!F14</f>
        <v>1160.5378059999998</v>
      </c>
      <c r="AH484" s="13">
        <f>AF484*AG484</f>
        <v>46.421512239999991</v>
      </c>
      <c r="AJ484" s="463" t="s">
        <v>1344</v>
      </c>
      <c r="AK484" s="459" t="s">
        <v>1345</v>
      </c>
      <c r="AL484" s="9" t="s">
        <v>21</v>
      </c>
      <c r="AM484" s="471">
        <f>1/12</f>
        <v>8.3333333333333329E-2</v>
      </c>
      <c r="AN484" s="12">
        <f>'ANÁLISIS CUADRILLAS'!F84</f>
        <v>1160.5378059999998</v>
      </c>
      <c r="AO484" s="13">
        <f>AM484*AN484</f>
        <v>96.711483833333318</v>
      </c>
      <c r="AQ484" s="463" t="s">
        <v>272</v>
      </c>
      <c r="AR484" s="459" t="s">
        <v>1028</v>
      </c>
      <c r="AS484" s="9" t="s">
        <v>21</v>
      </c>
      <c r="AT484" s="471">
        <f>1/12</f>
        <v>8.3333333333333329E-2</v>
      </c>
      <c r="AU484" s="12">
        <f>'ANÁLISIS CUADRILLAS'!F14</f>
        <v>1160.5378059999998</v>
      </c>
      <c r="AV484" s="13">
        <f>AT484*AU484</f>
        <v>96.711483833333318</v>
      </c>
      <c r="AX484" s="463" t="s">
        <v>272</v>
      </c>
      <c r="AY484" s="459" t="s">
        <v>1028</v>
      </c>
      <c r="AZ484" s="9" t="s">
        <v>21</v>
      </c>
      <c r="BA484" s="471">
        <f>1/12</f>
        <v>8.3333333333333329E-2</v>
      </c>
      <c r="BB484" s="12">
        <f>'ANÁLISIS CUADRILLAS'!F14</f>
        <v>1160.5378059999998</v>
      </c>
      <c r="BC484" s="13">
        <f>BA484*BB484</f>
        <v>96.711483833333318</v>
      </c>
      <c r="BE484" s="463" t="s">
        <v>277</v>
      </c>
      <c r="BF484" s="10" t="s">
        <v>69</v>
      </c>
      <c r="BG484" s="9" t="s">
        <v>21</v>
      </c>
      <c r="BH484" s="27">
        <f>1/9.24</f>
        <v>0.10822510822510822</v>
      </c>
      <c r="BI484" s="12">
        <f>'ANÁLISIS CUADRILLAS'!F21</f>
        <v>1160.5378059999998</v>
      </c>
      <c r="BJ484" s="13">
        <f>BH484*BI484</f>
        <v>125.59932965367963</v>
      </c>
      <c r="BL484" s="463" t="s">
        <v>277</v>
      </c>
      <c r="BM484" s="10" t="s">
        <v>69</v>
      </c>
      <c r="BN484" s="9" t="s">
        <v>21</v>
      </c>
      <c r="BO484" s="27">
        <f>1/9.24</f>
        <v>0.10822510822510822</v>
      </c>
      <c r="BP484" s="12">
        <f>'ANÁLISIS CUADRILLAS'!F21</f>
        <v>1160.5378059999998</v>
      </c>
      <c r="BQ484" s="13">
        <f>BO484*BP484</f>
        <v>125.59932965367963</v>
      </c>
      <c r="BS484" s="463" t="s">
        <v>277</v>
      </c>
      <c r="BT484" s="10" t="s">
        <v>69</v>
      </c>
      <c r="BU484" s="9" t="s">
        <v>21</v>
      </c>
      <c r="BV484" s="27">
        <f>1/9.24</f>
        <v>0.10822510822510822</v>
      </c>
      <c r="BW484" s="12">
        <f>'ANÁLISIS CUADRILLAS'!M21</f>
        <v>0</v>
      </c>
      <c r="BX484" s="13">
        <f>BV484*BW484</f>
        <v>0</v>
      </c>
      <c r="BZ484" s="463" t="s">
        <v>272</v>
      </c>
      <c r="CA484" s="10" t="s">
        <v>68</v>
      </c>
      <c r="CB484" s="9" t="s">
        <v>21</v>
      </c>
      <c r="CC484" s="27">
        <f>1/52</f>
        <v>1.9230769230769232E-2</v>
      </c>
      <c r="CD484" s="12">
        <f>'ANÁLISIS CUADRILLAS'!F14</f>
        <v>1160.5378059999998</v>
      </c>
      <c r="CE484" s="13">
        <f>CC484*CD484</f>
        <v>22.318034730769227</v>
      </c>
    </row>
    <row r="485" spans="1:83" ht="15" customHeight="1" thickBot="1">
      <c r="A485" s="23"/>
      <c r="B485" s="24"/>
      <c r="C485" s="23"/>
      <c r="D485" s="23"/>
      <c r="E485" s="34"/>
      <c r="F485" s="25"/>
      <c r="H485" s="23"/>
      <c r="I485" s="24"/>
      <c r="J485" s="23"/>
      <c r="K485" s="23"/>
      <c r="L485" s="34"/>
      <c r="M485" s="25"/>
      <c r="O485" s="23"/>
      <c r="P485" s="24"/>
      <c r="Q485" s="23"/>
      <c r="R485" s="23"/>
      <c r="S485" s="34"/>
      <c r="T485" s="25"/>
      <c r="V485" s="23"/>
      <c r="W485" s="24"/>
      <c r="X485" s="23"/>
      <c r="Y485" s="23"/>
      <c r="Z485" s="34"/>
      <c r="AA485" s="25"/>
      <c r="AC485" s="23"/>
      <c r="AD485" s="24"/>
      <c r="AE485" s="23"/>
      <c r="AF485" s="23"/>
      <c r="AG485" s="34"/>
      <c r="AH485" s="25"/>
      <c r="AJ485" s="23"/>
      <c r="AK485" s="24"/>
      <c r="AL485" s="23"/>
      <c r="AM485" s="23"/>
      <c r="AN485" s="34"/>
      <c r="AO485" s="25"/>
      <c r="AQ485" s="23"/>
      <c r="AR485" s="24"/>
      <c r="AS485" s="23"/>
      <c r="AT485" s="23"/>
      <c r="AU485" s="34"/>
      <c r="AV485" s="25"/>
      <c r="AX485" s="23"/>
      <c r="AY485" s="24"/>
      <c r="AZ485" s="23"/>
      <c r="BA485" s="23"/>
      <c r="BB485" s="34"/>
      <c r="BC485" s="25"/>
      <c r="BE485" s="23"/>
      <c r="BF485" s="24"/>
      <c r="BG485" s="23"/>
      <c r="BH485" s="23"/>
      <c r="BI485" s="34"/>
      <c r="BJ485" s="25"/>
      <c r="BL485" s="23"/>
      <c r="BM485" s="24"/>
      <c r="BN485" s="23"/>
      <c r="BO485" s="23"/>
      <c r="BP485" s="34"/>
      <c r="BQ485" s="25"/>
      <c r="BS485" s="23"/>
      <c r="BT485" s="24"/>
      <c r="BU485" s="23"/>
      <c r="BV485" s="23"/>
      <c r="BW485" s="34"/>
      <c r="BX485" s="25"/>
      <c r="BZ485" s="23"/>
      <c r="CA485" s="24"/>
      <c r="CB485" s="23"/>
      <c r="CC485" s="23"/>
      <c r="CD485" s="25"/>
      <c r="CE485" s="25"/>
    </row>
    <row r="486" spans="1:83" ht="15" customHeight="1" thickBot="1">
      <c r="A486" s="714" t="s">
        <v>18</v>
      </c>
      <c r="B486" s="715"/>
      <c r="C486" s="715"/>
      <c r="D486" s="715"/>
      <c r="E486" s="716"/>
      <c r="F486" s="35">
        <f>SUM(F484:F485)</f>
        <v>125.59932965367963</v>
      </c>
      <c r="H486" s="714" t="s">
        <v>18</v>
      </c>
      <c r="I486" s="715"/>
      <c r="J486" s="715"/>
      <c r="K486" s="715"/>
      <c r="L486" s="716"/>
      <c r="M486" s="35">
        <f>SUM(M484:M485)</f>
        <v>25.789729022222218</v>
      </c>
      <c r="O486" s="714" t="s">
        <v>18</v>
      </c>
      <c r="P486" s="715"/>
      <c r="Q486" s="715"/>
      <c r="R486" s="715"/>
      <c r="S486" s="716"/>
      <c r="T486" s="35">
        <f>SUM(T484:T485)</f>
        <v>33.15822302857142</v>
      </c>
      <c r="V486" s="714" t="s">
        <v>18</v>
      </c>
      <c r="W486" s="715"/>
      <c r="X486" s="715"/>
      <c r="Y486" s="715"/>
      <c r="Z486" s="716"/>
      <c r="AA486" s="35">
        <f>SUM(AA484:AA485)</f>
        <v>42.982881703703697</v>
      </c>
      <c r="AC486" s="714" t="s">
        <v>18</v>
      </c>
      <c r="AD486" s="715"/>
      <c r="AE486" s="715"/>
      <c r="AF486" s="715"/>
      <c r="AG486" s="716"/>
      <c r="AH486" s="35">
        <f>SUM(AH484:AH485)</f>
        <v>46.421512239999991</v>
      </c>
      <c r="AJ486" s="714" t="s">
        <v>18</v>
      </c>
      <c r="AK486" s="715"/>
      <c r="AL486" s="715"/>
      <c r="AM486" s="715"/>
      <c r="AN486" s="716"/>
      <c r="AO486" s="35">
        <f>SUM(AO484:AO485)</f>
        <v>96.711483833333318</v>
      </c>
      <c r="AQ486" s="714" t="s">
        <v>18</v>
      </c>
      <c r="AR486" s="715"/>
      <c r="AS486" s="715"/>
      <c r="AT486" s="715"/>
      <c r="AU486" s="716"/>
      <c r="AV486" s="35">
        <f>SUM(AV484:AV485)</f>
        <v>96.711483833333318</v>
      </c>
      <c r="AX486" s="714" t="s">
        <v>18</v>
      </c>
      <c r="AY486" s="715"/>
      <c r="AZ486" s="715"/>
      <c r="BA486" s="715"/>
      <c r="BB486" s="716"/>
      <c r="BC486" s="35">
        <f>SUM(BC484:BC485)</f>
        <v>96.711483833333318</v>
      </c>
      <c r="BE486" s="714" t="s">
        <v>18</v>
      </c>
      <c r="BF486" s="715"/>
      <c r="BG486" s="715"/>
      <c r="BH486" s="715"/>
      <c r="BI486" s="716"/>
      <c r="BJ486" s="35">
        <f>SUM(BJ484:BJ485)</f>
        <v>125.59932965367963</v>
      </c>
      <c r="BL486" s="714" t="s">
        <v>18</v>
      </c>
      <c r="BM486" s="715"/>
      <c r="BN486" s="715"/>
      <c r="BO486" s="715"/>
      <c r="BP486" s="716"/>
      <c r="BQ486" s="35">
        <f>SUM(BQ484:BQ485)</f>
        <v>125.59932965367963</v>
      </c>
      <c r="BS486" s="714" t="s">
        <v>18</v>
      </c>
      <c r="BT486" s="715"/>
      <c r="BU486" s="715"/>
      <c r="BV486" s="715"/>
      <c r="BW486" s="716"/>
      <c r="BX486" s="35">
        <f>SUM(BX484:BX485)</f>
        <v>0</v>
      </c>
      <c r="BZ486" s="714" t="s">
        <v>18</v>
      </c>
      <c r="CA486" s="715"/>
      <c r="CB486" s="715"/>
      <c r="CC486" s="715"/>
      <c r="CD486" s="716"/>
      <c r="CE486" s="35">
        <f>SUM(CE484:CE485)</f>
        <v>22.318034730769227</v>
      </c>
    </row>
    <row r="487" spans="1:83" ht="15" customHeight="1" thickBot="1">
      <c r="A487" s="717" t="s">
        <v>23</v>
      </c>
      <c r="B487" s="718"/>
      <c r="C487" s="718"/>
      <c r="D487" s="718"/>
      <c r="E487" s="718"/>
      <c r="F487" s="719"/>
      <c r="H487" s="717" t="s">
        <v>23</v>
      </c>
      <c r="I487" s="718"/>
      <c r="J487" s="718"/>
      <c r="K487" s="718"/>
      <c r="L487" s="718"/>
      <c r="M487" s="719"/>
      <c r="O487" s="717" t="s">
        <v>23</v>
      </c>
      <c r="P487" s="718"/>
      <c r="Q487" s="718"/>
      <c r="R487" s="718"/>
      <c r="S487" s="718"/>
      <c r="T487" s="719"/>
      <c r="V487" s="717" t="s">
        <v>23</v>
      </c>
      <c r="W487" s="718"/>
      <c r="X487" s="718"/>
      <c r="Y487" s="718"/>
      <c r="Z487" s="718"/>
      <c r="AA487" s="719"/>
      <c r="AC487" s="717" t="s">
        <v>23</v>
      </c>
      <c r="AD487" s="718"/>
      <c r="AE487" s="718"/>
      <c r="AF487" s="718"/>
      <c r="AG487" s="718"/>
      <c r="AH487" s="719"/>
      <c r="AJ487" s="717" t="s">
        <v>23</v>
      </c>
      <c r="AK487" s="718"/>
      <c r="AL487" s="718"/>
      <c r="AM487" s="718"/>
      <c r="AN487" s="718"/>
      <c r="AO487" s="719"/>
      <c r="AQ487" s="717" t="s">
        <v>23</v>
      </c>
      <c r="AR487" s="718"/>
      <c r="AS487" s="718"/>
      <c r="AT487" s="718"/>
      <c r="AU487" s="718"/>
      <c r="AV487" s="719"/>
      <c r="AX487" s="717" t="s">
        <v>23</v>
      </c>
      <c r="AY487" s="718"/>
      <c r="AZ487" s="718"/>
      <c r="BA487" s="718"/>
      <c r="BB487" s="718"/>
      <c r="BC487" s="719"/>
      <c r="BE487" s="717" t="s">
        <v>23</v>
      </c>
      <c r="BF487" s="718"/>
      <c r="BG487" s="718"/>
      <c r="BH487" s="718"/>
      <c r="BI487" s="718"/>
      <c r="BJ487" s="719"/>
      <c r="BL487" s="717" t="s">
        <v>23</v>
      </c>
      <c r="BM487" s="718"/>
      <c r="BN487" s="718"/>
      <c r="BO487" s="718"/>
      <c r="BP487" s="718"/>
      <c r="BQ487" s="719"/>
      <c r="BS487" s="717" t="s">
        <v>23</v>
      </c>
      <c r="BT487" s="718"/>
      <c r="BU487" s="718"/>
      <c r="BV487" s="718"/>
      <c r="BW487" s="718"/>
      <c r="BX487" s="719"/>
      <c r="BZ487" s="717" t="s">
        <v>23</v>
      </c>
      <c r="CA487" s="718"/>
      <c r="CB487" s="718"/>
      <c r="CC487" s="718"/>
      <c r="CD487" s="718"/>
      <c r="CE487" s="719"/>
    </row>
    <row r="488" spans="1:83" ht="15" customHeight="1" thickBot="1">
      <c r="A488" s="8" t="s">
        <v>1</v>
      </c>
      <c r="B488" s="5" t="s">
        <v>2</v>
      </c>
      <c r="C488" s="8" t="s">
        <v>3</v>
      </c>
      <c r="D488" s="8" t="s">
        <v>9</v>
      </c>
      <c r="E488" s="8" t="s">
        <v>10</v>
      </c>
      <c r="F488" s="8" t="s">
        <v>11</v>
      </c>
      <c r="H488" s="8" t="s">
        <v>1</v>
      </c>
      <c r="I488" s="5" t="s">
        <v>2</v>
      </c>
      <c r="J488" s="8" t="s">
        <v>3</v>
      </c>
      <c r="K488" s="8" t="s">
        <v>9</v>
      </c>
      <c r="L488" s="8" t="s">
        <v>10</v>
      </c>
      <c r="M488" s="8" t="s">
        <v>11</v>
      </c>
      <c r="O488" s="8" t="s">
        <v>1</v>
      </c>
      <c r="P488" s="5" t="s">
        <v>2</v>
      </c>
      <c r="Q488" s="8" t="s">
        <v>3</v>
      </c>
      <c r="R488" s="8" t="s">
        <v>9</v>
      </c>
      <c r="S488" s="8" t="s">
        <v>10</v>
      </c>
      <c r="T488" s="8" t="s">
        <v>11</v>
      </c>
      <c r="V488" s="8" t="s">
        <v>1</v>
      </c>
      <c r="W488" s="5" t="s">
        <v>2</v>
      </c>
      <c r="X488" s="8" t="s">
        <v>3</v>
      </c>
      <c r="Y488" s="8" t="s">
        <v>9</v>
      </c>
      <c r="Z488" s="8" t="s">
        <v>10</v>
      </c>
      <c r="AA488" s="8" t="s">
        <v>11</v>
      </c>
      <c r="AC488" s="8" t="s">
        <v>1</v>
      </c>
      <c r="AD488" s="5" t="s">
        <v>2</v>
      </c>
      <c r="AE488" s="8" t="s">
        <v>3</v>
      </c>
      <c r="AF488" s="8" t="s">
        <v>9</v>
      </c>
      <c r="AG488" s="8" t="s">
        <v>10</v>
      </c>
      <c r="AH488" s="8" t="s">
        <v>11</v>
      </c>
      <c r="AJ488" s="8" t="s">
        <v>1</v>
      </c>
      <c r="AK488" s="5" t="s">
        <v>2</v>
      </c>
      <c r="AL488" s="8" t="s">
        <v>3</v>
      </c>
      <c r="AM488" s="8" t="s">
        <v>9</v>
      </c>
      <c r="AN488" s="8" t="s">
        <v>10</v>
      </c>
      <c r="AO488" s="8" t="s">
        <v>11</v>
      </c>
      <c r="AQ488" s="8" t="s">
        <v>1</v>
      </c>
      <c r="AR488" s="5" t="s">
        <v>2</v>
      </c>
      <c r="AS488" s="8" t="s">
        <v>3</v>
      </c>
      <c r="AT488" s="8" t="s">
        <v>9</v>
      </c>
      <c r="AU488" s="8" t="s">
        <v>10</v>
      </c>
      <c r="AV488" s="8" t="s">
        <v>11</v>
      </c>
      <c r="AX488" s="8" t="s">
        <v>1</v>
      </c>
      <c r="AY488" s="5" t="s">
        <v>2</v>
      </c>
      <c r="AZ488" s="8" t="s">
        <v>3</v>
      </c>
      <c r="BA488" s="8" t="s">
        <v>9</v>
      </c>
      <c r="BB488" s="8" t="s">
        <v>10</v>
      </c>
      <c r="BC488" s="8" t="s">
        <v>11</v>
      </c>
      <c r="BE488" s="8" t="s">
        <v>1</v>
      </c>
      <c r="BF488" s="5" t="s">
        <v>2</v>
      </c>
      <c r="BG488" s="8" t="s">
        <v>3</v>
      </c>
      <c r="BH488" s="8" t="s">
        <v>9</v>
      </c>
      <c r="BI488" s="8" t="s">
        <v>10</v>
      </c>
      <c r="BJ488" s="8" t="s">
        <v>11</v>
      </c>
      <c r="BL488" s="8" t="s">
        <v>1</v>
      </c>
      <c r="BM488" s="5" t="s">
        <v>2</v>
      </c>
      <c r="BN488" s="8" t="s">
        <v>3</v>
      </c>
      <c r="BO488" s="8" t="s">
        <v>9</v>
      </c>
      <c r="BP488" s="8" t="s">
        <v>10</v>
      </c>
      <c r="BQ488" s="8" t="s">
        <v>11</v>
      </c>
      <c r="BS488" s="8" t="s">
        <v>1</v>
      </c>
      <c r="BT488" s="5" t="s">
        <v>2</v>
      </c>
      <c r="BU488" s="8" t="s">
        <v>3</v>
      </c>
      <c r="BV488" s="8" t="s">
        <v>9</v>
      </c>
      <c r="BW488" s="8" t="s">
        <v>10</v>
      </c>
      <c r="BX488" s="8" t="s">
        <v>11</v>
      </c>
      <c r="BZ488" s="8" t="s">
        <v>1</v>
      </c>
      <c r="CA488" s="5" t="s">
        <v>2</v>
      </c>
      <c r="CB488" s="8" t="s">
        <v>3</v>
      </c>
      <c r="CC488" s="8" t="s">
        <v>9</v>
      </c>
      <c r="CD488" s="8" t="s">
        <v>10</v>
      </c>
      <c r="CE488" s="8" t="s">
        <v>11</v>
      </c>
    </row>
    <row r="489" spans="1:83" ht="15" customHeight="1" thickBot="1">
      <c r="A489" s="36" t="s">
        <v>24</v>
      </c>
      <c r="B489" s="37" t="s">
        <v>23</v>
      </c>
      <c r="C489" s="36" t="s">
        <v>25</v>
      </c>
      <c r="D489" s="38">
        <v>0.03</v>
      </c>
      <c r="E489" s="39">
        <f>F484</f>
        <v>125.59932965367963</v>
      </c>
      <c r="F489" s="39">
        <f>D489*E489</f>
        <v>3.7679798896103889</v>
      </c>
      <c r="H489" s="36" t="s">
        <v>24</v>
      </c>
      <c r="I489" s="37" t="s">
        <v>23</v>
      </c>
      <c r="J489" s="36" t="s">
        <v>25</v>
      </c>
      <c r="K489" s="38">
        <v>0.03</v>
      </c>
      <c r="L489" s="39">
        <f>M484</f>
        <v>25.789729022222218</v>
      </c>
      <c r="M489" s="39">
        <f>K489*L489</f>
        <v>0.77369187066666656</v>
      </c>
      <c r="O489" s="36" t="s">
        <v>24</v>
      </c>
      <c r="P489" s="37" t="s">
        <v>23</v>
      </c>
      <c r="Q489" s="36" t="s">
        <v>25</v>
      </c>
      <c r="R489" s="38">
        <v>0.03</v>
      </c>
      <c r="S489" s="39">
        <f>T484</f>
        <v>33.15822302857142</v>
      </c>
      <c r="T489" s="39">
        <f>R489*S489</f>
        <v>0.99474669085714262</v>
      </c>
      <c r="V489" s="36" t="s">
        <v>24</v>
      </c>
      <c r="W489" s="37" t="s">
        <v>23</v>
      </c>
      <c r="X489" s="36" t="s">
        <v>25</v>
      </c>
      <c r="Y489" s="38">
        <v>0.03</v>
      </c>
      <c r="Z489" s="39">
        <f>AA484</f>
        <v>42.982881703703697</v>
      </c>
      <c r="AA489" s="39">
        <f>Y489*Z489</f>
        <v>1.2894864511111108</v>
      </c>
      <c r="AC489" s="36" t="s">
        <v>24</v>
      </c>
      <c r="AD489" s="37" t="s">
        <v>23</v>
      </c>
      <c r="AE489" s="36" t="s">
        <v>25</v>
      </c>
      <c r="AF489" s="38">
        <v>0.03</v>
      </c>
      <c r="AG489" s="39">
        <f>AH484</f>
        <v>46.421512239999991</v>
      </c>
      <c r="AH489" s="39">
        <f>AF489*AG489</f>
        <v>1.3926453671999997</v>
      </c>
      <c r="AJ489" s="36" t="s">
        <v>24</v>
      </c>
      <c r="AK489" s="37" t="s">
        <v>23</v>
      </c>
      <c r="AL489" s="36" t="s">
        <v>25</v>
      </c>
      <c r="AM489" s="38">
        <v>0.03</v>
      </c>
      <c r="AN489" s="39">
        <f>AO484</f>
        <v>96.711483833333318</v>
      </c>
      <c r="AO489" s="39">
        <f>AM489*AN489</f>
        <v>2.9013445149999995</v>
      </c>
      <c r="AQ489" s="36" t="s">
        <v>24</v>
      </c>
      <c r="AR489" s="37" t="s">
        <v>23</v>
      </c>
      <c r="AS489" s="36" t="s">
        <v>25</v>
      </c>
      <c r="AT489" s="38">
        <v>0.03</v>
      </c>
      <c r="AU489" s="39">
        <f>AV484</f>
        <v>96.711483833333318</v>
      </c>
      <c r="AV489" s="39">
        <f>AT489*AU489</f>
        <v>2.9013445149999995</v>
      </c>
      <c r="AX489" s="36" t="s">
        <v>24</v>
      </c>
      <c r="AY489" s="37" t="s">
        <v>23</v>
      </c>
      <c r="AZ489" s="36" t="s">
        <v>25</v>
      </c>
      <c r="BA489" s="38">
        <v>0.03</v>
      </c>
      <c r="BB489" s="39">
        <f>BC484</f>
        <v>96.711483833333318</v>
      </c>
      <c r="BC489" s="39">
        <f>BA489*BB489</f>
        <v>2.9013445149999995</v>
      </c>
      <c r="BE489" s="36" t="s">
        <v>24</v>
      </c>
      <c r="BF489" s="37" t="s">
        <v>23</v>
      </c>
      <c r="BG489" s="36" t="s">
        <v>25</v>
      </c>
      <c r="BH489" s="38">
        <v>0.03</v>
      </c>
      <c r="BI489" s="39">
        <f>BJ484</f>
        <v>125.59932965367963</v>
      </c>
      <c r="BJ489" s="39">
        <f>BH489*BI489</f>
        <v>3.7679798896103889</v>
      </c>
      <c r="BL489" s="36" t="s">
        <v>24</v>
      </c>
      <c r="BM489" s="37" t="s">
        <v>23</v>
      </c>
      <c r="BN489" s="36" t="s">
        <v>25</v>
      </c>
      <c r="BO489" s="38">
        <v>0.03</v>
      </c>
      <c r="BP489" s="39">
        <f>BQ484</f>
        <v>125.59932965367963</v>
      </c>
      <c r="BQ489" s="39">
        <f>BO489*BP489</f>
        <v>3.7679798896103889</v>
      </c>
      <c r="BS489" s="36" t="s">
        <v>24</v>
      </c>
      <c r="BT489" s="37" t="s">
        <v>23</v>
      </c>
      <c r="BU489" s="36" t="s">
        <v>25</v>
      </c>
      <c r="BV489" s="38">
        <v>0.03</v>
      </c>
      <c r="BW489" s="39">
        <f>BX484</f>
        <v>0</v>
      </c>
      <c r="BX489" s="39">
        <f>BV489*BW489</f>
        <v>0</v>
      </c>
      <c r="BZ489" s="36" t="s">
        <v>24</v>
      </c>
      <c r="CA489" s="37" t="s">
        <v>23</v>
      </c>
      <c r="CB489" s="36" t="s">
        <v>25</v>
      </c>
      <c r="CC489" s="38">
        <v>0.03</v>
      </c>
      <c r="CD489" s="39">
        <f>CE484</f>
        <v>22.318034730769227</v>
      </c>
      <c r="CE489" s="39">
        <f>(CC489*CD489)</f>
        <v>0.66954104192307684</v>
      </c>
    </row>
    <row r="490" spans="1:83" ht="15" customHeight="1" thickBot="1">
      <c r="A490" s="720" t="s">
        <v>26</v>
      </c>
      <c r="B490" s="721"/>
      <c r="C490" s="721"/>
      <c r="D490" s="721"/>
      <c r="E490" s="722"/>
      <c r="F490" s="40">
        <f>SUM(F489)</f>
        <v>3.7679798896103889</v>
      </c>
      <c r="H490" s="720" t="s">
        <v>26</v>
      </c>
      <c r="I490" s="721"/>
      <c r="J490" s="721"/>
      <c r="K490" s="721"/>
      <c r="L490" s="722"/>
      <c r="M490" s="40">
        <f>SUM(M489)</f>
        <v>0.77369187066666656</v>
      </c>
      <c r="O490" s="720" t="s">
        <v>26</v>
      </c>
      <c r="P490" s="721"/>
      <c r="Q490" s="721"/>
      <c r="R490" s="721"/>
      <c r="S490" s="722"/>
      <c r="T490" s="40">
        <f>SUM(T489)</f>
        <v>0.99474669085714262</v>
      </c>
      <c r="V490" s="720" t="s">
        <v>26</v>
      </c>
      <c r="W490" s="721"/>
      <c r="X490" s="721"/>
      <c r="Y490" s="721"/>
      <c r="Z490" s="722"/>
      <c r="AA490" s="40">
        <f>SUM(AA489)</f>
        <v>1.2894864511111108</v>
      </c>
      <c r="AC490" s="720" t="s">
        <v>26</v>
      </c>
      <c r="AD490" s="721"/>
      <c r="AE490" s="721"/>
      <c r="AF490" s="721"/>
      <c r="AG490" s="722"/>
      <c r="AH490" s="40">
        <f>SUM(AH489)</f>
        <v>1.3926453671999997</v>
      </c>
      <c r="AJ490" s="720" t="s">
        <v>26</v>
      </c>
      <c r="AK490" s="721"/>
      <c r="AL490" s="721"/>
      <c r="AM490" s="721"/>
      <c r="AN490" s="722"/>
      <c r="AO490" s="40">
        <f>SUM(AO489)</f>
        <v>2.9013445149999995</v>
      </c>
      <c r="AQ490" s="720" t="s">
        <v>26</v>
      </c>
      <c r="AR490" s="721"/>
      <c r="AS490" s="721"/>
      <c r="AT490" s="721"/>
      <c r="AU490" s="722"/>
      <c r="AV490" s="40">
        <f>SUM(AV489)</f>
        <v>2.9013445149999995</v>
      </c>
      <c r="AX490" s="720" t="s">
        <v>26</v>
      </c>
      <c r="AY490" s="721"/>
      <c r="AZ490" s="721"/>
      <c r="BA490" s="721"/>
      <c r="BB490" s="722"/>
      <c r="BC490" s="40">
        <f>SUM(BC489)</f>
        <v>2.9013445149999995</v>
      </c>
      <c r="BE490" s="720" t="s">
        <v>26</v>
      </c>
      <c r="BF490" s="721"/>
      <c r="BG490" s="721"/>
      <c r="BH490" s="721"/>
      <c r="BI490" s="722"/>
      <c r="BJ490" s="40">
        <f>SUM(BJ489)</f>
        <v>3.7679798896103889</v>
      </c>
      <c r="BL490" s="720" t="s">
        <v>26</v>
      </c>
      <c r="BM490" s="721"/>
      <c r="BN490" s="721"/>
      <c r="BO490" s="721"/>
      <c r="BP490" s="722"/>
      <c r="BQ490" s="40">
        <f>SUM(BQ489)</f>
        <v>3.7679798896103889</v>
      </c>
      <c r="BS490" s="720" t="s">
        <v>26</v>
      </c>
      <c r="BT490" s="721"/>
      <c r="BU490" s="721"/>
      <c r="BV490" s="721"/>
      <c r="BW490" s="722"/>
      <c r="BX490" s="40">
        <f>SUM(BX489)</f>
        <v>0</v>
      </c>
      <c r="BZ490" s="720" t="s">
        <v>26</v>
      </c>
      <c r="CA490" s="721"/>
      <c r="CB490" s="721"/>
      <c r="CC490" s="721"/>
      <c r="CD490" s="722"/>
      <c r="CE490" s="40">
        <f>SUM(CE489)</f>
        <v>0.66954104192307684</v>
      </c>
    </row>
    <row r="491" spans="1:83" ht="15" customHeight="1" thickBot="1">
      <c r="A491" s="723" t="s">
        <v>27</v>
      </c>
      <c r="B491" s="724"/>
      <c r="C491" s="724"/>
      <c r="D491" s="724"/>
      <c r="E491" s="724"/>
      <c r="F491" s="725"/>
      <c r="H491" s="723" t="s">
        <v>27</v>
      </c>
      <c r="I491" s="724"/>
      <c r="J491" s="724"/>
      <c r="K491" s="724"/>
      <c r="L491" s="724"/>
      <c r="M491" s="725"/>
      <c r="O491" s="723" t="s">
        <v>27</v>
      </c>
      <c r="P491" s="724"/>
      <c r="Q491" s="724"/>
      <c r="R491" s="724"/>
      <c r="S491" s="724"/>
      <c r="T491" s="725"/>
      <c r="V491" s="723" t="s">
        <v>27</v>
      </c>
      <c r="W491" s="724"/>
      <c r="X491" s="724"/>
      <c r="Y491" s="724"/>
      <c r="Z491" s="724"/>
      <c r="AA491" s="725"/>
      <c r="AC491" s="723" t="s">
        <v>27</v>
      </c>
      <c r="AD491" s="724"/>
      <c r="AE491" s="724"/>
      <c r="AF491" s="724"/>
      <c r="AG491" s="724"/>
      <c r="AH491" s="725"/>
      <c r="AJ491" s="723" t="s">
        <v>27</v>
      </c>
      <c r="AK491" s="724"/>
      <c r="AL491" s="724"/>
      <c r="AM491" s="724"/>
      <c r="AN491" s="724"/>
      <c r="AO491" s="725"/>
      <c r="AQ491" s="723" t="s">
        <v>27</v>
      </c>
      <c r="AR491" s="724"/>
      <c r="AS491" s="724"/>
      <c r="AT491" s="724"/>
      <c r="AU491" s="724"/>
      <c r="AV491" s="725"/>
      <c r="AX491" s="723" t="s">
        <v>27</v>
      </c>
      <c r="AY491" s="724"/>
      <c r="AZ491" s="724"/>
      <c r="BA491" s="724"/>
      <c r="BB491" s="724"/>
      <c r="BC491" s="725"/>
      <c r="BE491" s="723" t="s">
        <v>27</v>
      </c>
      <c r="BF491" s="724"/>
      <c r="BG491" s="724"/>
      <c r="BH491" s="724"/>
      <c r="BI491" s="724"/>
      <c r="BJ491" s="725"/>
      <c r="BL491" s="723" t="s">
        <v>27</v>
      </c>
      <c r="BM491" s="724"/>
      <c r="BN491" s="724"/>
      <c r="BO491" s="724"/>
      <c r="BP491" s="724"/>
      <c r="BQ491" s="725"/>
      <c r="BS491" s="723" t="s">
        <v>27</v>
      </c>
      <c r="BT491" s="724"/>
      <c r="BU491" s="724"/>
      <c r="BV491" s="724"/>
      <c r="BW491" s="724"/>
      <c r="BX491" s="725"/>
      <c r="BZ491" s="723" t="s">
        <v>27</v>
      </c>
      <c r="CA491" s="724"/>
      <c r="CB491" s="724"/>
      <c r="CC491" s="724"/>
      <c r="CD491" s="724"/>
      <c r="CE491" s="725"/>
    </row>
    <row r="492" spans="1:83" ht="15" customHeight="1" thickBot="1">
      <c r="A492" s="8" t="s">
        <v>1</v>
      </c>
      <c r="B492" s="5" t="s">
        <v>2</v>
      </c>
      <c r="C492" s="8" t="s">
        <v>3</v>
      </c>
      <c r="D492" s="8" t="s">
        <v>9</v>
      </c>
      <c r="E492" s="8" t="s">
        <v>10</v>
      </c>
      <c r="F492" s="8" t="s">
        <v>11</v>
      </c>
      <c r="H492" s="8" t="s">
        <v>1</v>
      </c>
      <c r="I492" s="5" t="s">
        <v>2</v>
      </c>
      <c r="J492" s="8" t="s">
        <v>3</v>
      </c>
      <c r="K492" s="8" t="s">
        <v>9</v>
      </c>
      <c r="L492" s="8" t="s">
        <v>10</v>
      </c>
      <c r="M492" s="8" t="s">
        <v>11</v>
      </c>
      <c r="O492" s="8" t="s">
        <v>1</v>
      </c>
      <c r="P492" s="5" t="s">
        <v>2</v>
      </c>
      <c r="Q492" s="8" t="s">
        <v>3</v>
      </c>
      <c r="R492" s="8" t="s">
        <v>9</v>
      </c>
      <c r="S492" s="8" t="s">
        <v>10</v>
      </c>
      <c r="T492" s="8" t="s">
        <v>11</v>
      </c>
      <c r="V492" s="8" t="s">
        <v>1</v>
      </c>
      <c r="W492" s="5" t="s">
        <v>2</v>
      </c>
      <c r="X492" s="8" t="s">
        <v>3</v>
      </c>
      <c r="Y492" s="8" t="s">
        <v>9</v>
      </c>
      <c r="Z492" s="8" t="s">
        <v>10</v>
      </c>
      <c r="AA492" s="8" t="s">
        <v>11</v>
      </c>
      <c r="AC492" s="8" t="s">
        <v>1</v>
      </c>
      <c r="AD492" s="5" t="s">
        <v>2</v>
      </c>
      <c r="AE492" s="8" t="s">
        <v>3</v>
      </c>
      <c r="AF492" s="8" t="s">
        <v>9</v>
      </c>
      <c r="AG492" s="8" t="s">
        <v>10</v>
      </c>
      <c r="AH492" s="8" t="s">
        <v>11</v>
      </c>
      <c r="AJ492" s="8" t="s">
        <v>1</v>
      </c>
      <c r="AK492" s="5" t="s">
        <v>2</v>
      </c>
      <c r="AL492" s="8" t="s">
        <v>3</v>
      </c>
      <c r="AM492" s="8" t="s">
        <v>9</v>
      </c>
      <c r="AN492" s="8" t="s">
        <v>10</v>
      </c>
      <c r="AO492" s="8" t="s">
        <v>11</v>
      </c>
      <c r="AQ492" s="8" t="s">
        <v>1</v>
      </c>
      <c r="AR492" s="5" t="s">
        <v>2</v>
      </c>
      <c r="AS492" s="8" t="s">
        <v>3</v>
      </c>
      <c r="AT492" s="8" t="s">
        <v>9</v>
      </c>
      <c r="AU492" s="8" t="s">
        <v>10</v>
      </c>
      <c r="AV492" s="8" t="s">
        <v>11</v>
      </c>
      <c r="AX492" s="8" t="s">
        <v>1</v>
      </c>
      <c r="AY492" s="5" t="s">
        <v>2</v>
      </c>
      <c r="AZ492" s="8" t="s">
        <v>3</v>
      </c>
      <c r="BA492" s="8" t="s">
        <v>9</v>
      </c>
      <c r="BB492" s="8" t="s">
        <v>10</v>
      </c>
      <c r="BC492" s="8" t="s">
        <v>11</v>
      </c>
      <c r="BE492" s="8" t="s">
        <v>1</v>
      </c>
      <c r="BF492" s="5" t="s">
        <v>2</v>
      </c>
      <c r="BG492" s="8" t="s">
        <v>3</v>
      </c>
      <c r="BH492" s="8" t="s">
        <v>9</v>
      </c>
      <c r="BI492" s="8" t="s">
        <v>10</v>
      </c>
      <c r="BJ492" s="8" t="s">
        <v>11</v>
      </c>
      <c r="BL492" s="8" t="s">
        <v>1</v>
      </c>
      <c r="BM492" s="5" t="s">
        <v>2</v>
      </c>
      <c r="BN492" s="8" t="s">
        <v>3</v>
      </c>
      <c r="BO492" s="8" t="s">
        <v>9</v>
      </c>
      <c r="BP492" s="8" t="s">
        <v>10</v>
      </c>
      <c r="BQ492" s="8" t="s">
        <v>11</v>
      </c>
      <c r="BS492" s="8" t="s">
        <v>1</v>
      </c>
      <c r="BT492" s="5" t="s">
        <v>2</v>
      </c>
      <c r="BU492" s="8" t="s">
        <v>3</v>
      </c>
      <c r="BV492" s="8" t="s">
        <v>9</v>
      </c>
      <c r="BW492" s="8" t="s">
        <v>10</v>
      </c>
      <c r="BX492" s="8" t="s">
        <v>11</v>
      </c>
      <c r="BZ492" s="8" t="s">
        <v>1</v>
      </c>
      <c r="CA492" s="5" t="s">
        <v>2</v>
      </c>
      <c r="CB492" s="8" t="s">
        <v>3</v>
      </c>
      <c r="CC492" s="8" t="s">
        <v>9</v>
      </c>
      <c r="CD492" s="8" t="s">
        <v>10</v>
      </c>
      <c r="CE492" s="8" t="s">
        <v>11</v>
      </c>
    </row>
    <row r="493" spans="1:83" ht="15" customHeight="1">
      <c r="A493" s="9" t="s">
        <v>28</v>
      </c>
      <c r="B493" s="10" t="s">
        <v>29</v>
      </c>
      <c r="C493" s="9" t="s">
        <v>25</v>
      </c>
      <c r="D493" s="11">
        <v>0.02</v>
      </c>
      <c r="E493" s="13">
        <f>F484</f>
        <v>125.59932965367963</v>
      </c>
      <c r="F493" s="13">
        <f>D493*E493</f>
        <v>2.5119865930735927</v>
      </c>
      <c r="H493" s="9" t="s">
        <v>28</v>
      </c>
      <c r="I493" s="10" t="s">
        <v>29</v>
      </c>
      <c r="J493" s="9" t="s">
        <v>25</v>
      </c>
      <c r="K493" s="11">
        <v>0.02</v>
      </c>
      <c r="L493" s="13">
        <f>M484</f>
        <v>25.789729022222218</v>
      </c>
      <c r="M493" s="13">
        <f>K493*L493</f>
        <v>0.51579458044444437</v>
      </c>
      <c r="O493" s="9" t="s">
        <v>28</v>
      </c>
      <c r="P493" s="10" t="s">
        <v>29</v>
      </c>
      <c r="Q493" s="9" t="s">
        <v>25</v>
      </c>
      <c r="R493" s="11">
        <v>0.02</v>
      </c>
      <c r="S493" s="13">
        <f>T484</f>
        <v>33.15822302857142</v>
      </c>
      <c r="T493" s="13">
        <f>R493*S493</f>
        <v>0.66316446057142842</v>
      </c>
      <c r="V493" s="9" t="s">
        <v>28</v>
      </c>
      <c r="W493" s="10" t="s">
        <v>29</v>
      </c>
      <c r="X493" s="9" t="s">
        <v>25</v>
      </c>
      <c r="Y493" s="11">
        <v>0.02</v>
      </c>
      <c r="Z493" s="13">
        <f>AA484</f>
        <v>42.982881703703697</v>
      </c>
      <c r="AA493" s="13">
        <f>Y493*Z493</f>
        <v>0.85965763407407392</v>
      </c>
      <c r="AC493" s="9" t="s">
        <v>28</v>
      </c>
      <c r="AD493" s="10" t="s">
        <v>29</v>
      </c>
      <c r="AE493" s="9" t="s">
        <v>25</v>
      </c>
      <c r="AF493" s="11">
        <v>0.02</v>
      </c>
      <c r="AG493" s="13">
        <f>AH484</f>
        <v>46.421512239999991</v>
      </c>
      <c r="AH493" s="13">
        <f>AF493*AG493</f>
        <v>0.9284302447999998</v>
      </c>
      <c r="AJ493" s="9" t="s">
        <v>28</v>
      </c>
      <c r="AK493" s="10" t="s">
        <v>29</v>
      </c>
      <c r="AL493" s="9" t="s">
        <v>25</v>
      </c>
      <c r="AM493" s="11">
        <v>0.02</v>
      </c>
      <c r="AN493" s="13">
        <f>AO484</f>
        <v>96.711483833333318</v>
      </c>
      <c r="AO493" s="13">
        <f>AM493*AN493</f>
        <v>1.9342296766666665</v>
      </c>
      <c r="AQ493" s="9" t="s">
        <v>28</v>
      </c>
      <c r="AR493" s="10" t="s">
        <v>29</v>
      </c>
      <c r="AS493" s="9" t="s">
        <v>25</v>
      </c>
      <c r="AT493" s="11">
        <v>0.02</v>
      </c>
      <c r="AU493" s="13">
        <f>AV484</f>
        <v>96.711483833333318</v>
      </c>
      <c r="AV493" s="13">
        <f>AT493*AU493</f>
        <v>1.9342296766666665</v>
      </c>
      <c r="AX493" s="9" t="s">
        <v>28</v>
      </c>
      <c r="AY493" s="10" t="s">
        <v>29</v>
      </c>
      <c r="AZ493" s="9" t="s">
        <v>25</v>
      </c>
      <c r="BA493" s="11">
        <v>0.02</v>
      </c>
      <c r="BB493" s="13">
        <f>BC484</f>
        <v>96.711483833333318</v>
      </c>
      <c r="BC493" s="13">
        <f>BA493*BB493</f>
        <v>1.9342296766666665</v>
      </c>
      <c r="BE493" s="9" t="s">
        <v>28</v>
      </c>
      <c r="BF493" s="10" t="s">
        <v>29</v>
      </c>
      <c r="BG493" s="9" t="s">
        <v>25</v>
      </c>
      <c r="BH493" s="11">
        <v>0.02</v>
      </c>
      <c r="BI493" s="13">
        <f>BJ484</f>
        <v>125.59932965367963</v>
      </c>
      <c r="BJ493" s="13">
        <f>BH493*BI493</f>
        <v>2.5119865930735927</v>
      </c>
      <c r="BL493" s="9" t="s">
        <v>28</v>
      </c>
      <c r="BM493" s="10" t="s">
        <v>29</v>
      </c>
      <c r="BN493" s="9" t="s">
        <v>25</v>
      </c>
      <c r="BO493" s="11">
        <v>0.02</v>
      </c>
      <c r="BP493" s="13">
        <f>BQ484</f>
        <v>125.59932965367963</v>
      </c>
      <c r="BQ493" s="13">
        <f>BO493*BP493</f>
        <v>2.5119865930735927</v>
      </c>
      <c r="BS493" s="9" t="s">
        <v>28</v>
      </c>
      <c r="BT493" s="10" t="s">
        <v>29</v>
      </c>
      <c r="BU493" s="9" t="s">
        <v>25</v>
      </c>
      <c r="BV493" s="11">
        <v>0.02</v>
      </c>
      <c r="BW493" s="13">
        <f>BX484</f>
        <v>0</v>
      </c>
      <c r="BX493" s="13">
        <f>BV493*BW493</f>
        <v>0</v>
      </c>
      <c r="BZ493" s="9" t="s">
        <v>28</v>
      </c>
      <c r="CA493" s="10" t="s">
        <v>29</v>
      </c>
      <c r="CB493" s="9" t="s">
        <v>25</v>
      </c>
      <c r="CC493" s="11">
        <v>0.02</v>
      </c>
      <c r="CD493" s="13">
        <f>CE484</f>
        <v>22.318034730769227</v>
      </c>
      <c r="CE493" s="13">
        <f>(CC493*CD493)</f>
        <v>0.44636069461538458</v>
      </c>
    </row>
    <row r="494" spans="1:83" ht="15" customHeight="1" thickBot="1">
      <c r="A494" s="23"/>
      <c r="B494" s="24"/>
      <c r="C494" s="23"/>
      <c r="D494" s="23"/>
      <c r="E494" s="25"/>
      <c r="F494" s="25"/>
      <c r="H494" s="23"/>
      <c r="I494" s="24"/>
      <c r="J494" s="23"/>
      <c r="K494" s="23"/>
      <c r="L494" s="25"/>
      <c r="M494" s="25"/>
      <c r="O494" s="23"/>
      <c r="P494" s="24"/>
      <c r="Q494" s="23"/>
      <c r="R494" s="23"/>
      <c r="S494" s="25"/>
      <c r="T494" s="25"/>
      <c r="V494" s="23"/>
      <c r="W494" s="24"/>
      <c r="X494" s="23"/>
      <c r="Y494" s="23"/>
      <c r="Z494" s="25"/>
      <c r="AA494" s="25"/>
      <c r="AC494" s="23"/>
      <c r="AD494" s="24"/>
      <c r="AE494" s="23"/>
      <c r="AF494" s="23"/>
      <c r="AG494" s="25"/>
      <c r="AH494" s="25"/>
      <c r="AJ494" s="23"/>
      <c r="AK494" s="24"/>
      <c r="AL494" s="23"/>
      <c r="AM494" s="23"/>
      <c r="AN494" s="25"/>
      <c r="AO494" s="25"/>
      <c r="AQ494" s="23"/>
      <c r="AR494" s="24"/>
      <c r="AS494" s="23"/>
      <c r="AT494" s="23"/>
      <c r="AU494" s="25"/>
      <c r="AV494" s="25"/>
      <c r="AX494" s="23"/>
      <c r="AY494" s="24"/>
      <c r="AZ494" s="23"/>
      <c r="BA494" s="23"/>
      <c r="BB494" s="25"/>
      <c r="BC494" s="25"/>
      <c r="BE494" s="23"/>
      <c r="BF494" s="24"/>
      <c r="BG494" s="23"/>
      <c r="BH494" s="23"/>
      <c r="BI494" s="25"/>
      <c r="BJ494" s="25"/>
      <c r="BL494" s="23"/>
      <c r="BM494" s="24"/>
      <c r="BN494" s="23"/>
      <c r="BO494" s="23"/>
      <c r="BP494" s="25"/>
      <c r="BQ494" s="25"/>
      <c r="BS494" s="23"/>
      <c r="BT494" s="24"/>
      <c r="BU494" s="23"/>
      <c r="BV494" s="23"/>
      <c r="BW494" s="25"/>
      <c r="BX494" s="25"/>
      <c r="BZ494" s="23"/>
      <c r="CA494" s="24"/>
      <c r="CB494" s="23"/>
      <c r="CC494" s="23"/>
      <c r="CD494" s="25"/>
      <c r="CE494" s="25"/>
    </row>
    <row r="495" spans="1:83" ht="15" customHeight="1" thickBot="1">
      <c r="A495" s="726" t="s">
        <v>34</v>
      </c>
      <c r="B495" s="727"/>
      <c r="C495" s="727"/>
      <c r="D495" s="727"/>
      <c r="E495" s="728"/>
      <c r="F495" s="41">
        <f>SUM(F493:F494)</f>
        <v>2.5119865930735927</v>
      </c>
      <c r="H495" s="726" t="s">
        <v>34</v>
      </c>
      <c r="I495" s="727"/>
      <c r="J495" s="727"/>
      <c r="K495" s="727"/>
      <c r="L495" s="728"/>
      <c r="M495" s="41">
        <f>SUM(M493:M494)</f>
        <v>0.51579458044444437</v>
      </c>
      <c r="O495" s="726" t="s">
        <v>34</v>
      </c>
      <c r="P495" s="727"/>
      <c r="Q495" s="727"/>
      <c r="R495" s="727"/>
      <c r="S495" s="728"/>
      <c r="T495" s="41">
        <f>SUM(T493:T494)</f>
        <v>0.66316446057142842</v>
      </c>
      <c r="V495" s="726" t="s">
        <v>34</v>
      </c>
      <c r="W495" s="727"/>
      <c r="X495" s="727"/>
      <c r="Y495" s="727"/>
      <c r="Z495" s="728"/>
      <c r="AA495" s="41">
        <f>SUM(AA493:AA494)</f>
        <v>0.85965763407407392</v>
      </c>
      <c r="AC495" s="726" t="s">
        <v>34</v>
      </c>
      <c r="AD495" s="727"/>
      <c r="AE495" s="727"/>
      <c r="AF495" s="727"/>
      <c r="AG495" s="728"/>
      <c r="AH495" s="41">
        <f>SUM(AH493:AH494)</f>
        <v>0.9284302447999998</v>
      </c>
      <c r="AJ495" s="726" t="s">
        <v>34</v>
      </c>
      <c r="AK495" s="727"/>
      <c r="AL495" s="727"/>
      <c r="AM495" s="727"/>
      <c r="AN495" s="728"/>
      <c r="AO495" s="41">
        <f>SUM(AO493:AO494)</f>
        <v>1.9342296766666665</v>
      </c>
      <c r="AQ495" s="726" t="s">
        <v>34</v>
      </c>
      <c r="AR495" s="727"/>
      <c r="AS495" s="727"/>
      <c r="AT495" s="727"/>
      <c r="AU495" s="728"/>
      <c r="AV495" s="41">
        <f>SUM(AV493:AV494)</f>
        <v>1.9342296766666665</v>
      </c>
      <c r="AX495" s="726" t="s">
        <v>34</v>
      </c>
      <c r="AY495" s="727"/>
      <c r="AZ495" s="727"/>
      <c r="BA495" s="727"/>
      <c r="BB495" s="728"/>
      <c r="BC495" s="41">
        <f>SUM(BC493:BC494)</f>
        <v>1.9342296766666665</v>
      </c>
      <c r="BE495" s="726" t="s">
        <v>34</v>
      </c>
      <c r="BF495" s="727"/>
      <c r="BG495" s="727"/>
      <c r="BH495" s="727"/>
      <c r="BI495" s="728"/>
      <c r="BJ495" s="41">
        <f>SUM(BJ493:BJ494)</f>
        <v>2.5119865930735927</v>
      </c>
      <c r="BL495" s="726" t="s">
        <v>34</v>
      </c>
      <c r="BM495" s="727"/>
      <c r="BN495" s="727"/>
      <c r="BO495" s="727"/>
      <c r="BP495" s="728"/>
      <c r="BQ495" s="41">
        <f>SUM(BQ493:BQ494)</f>
        <v>2.5119865930735927</v>
      </c>
      <c r="BS495" s="726" t="s">
        <v>34</v>
      </c>
      <c r="BT495" s="727"/>
      <c r="BU495" s="727"/>
      <c r="BV495" s="727"/>
      <c r="BW495" s="728"/>
      <c r="BX495" s="41">
        <f>SUM(BX493:BX494)</f>
        <v>0</v>
      </c>
      <c r="BZ495" s="726" t="s">
        <v>34</v>
      </c>
      <c r="CA495" s="727"/>
      <c r="CB495" s="727"/>
      <c r="CC495" s="727"/>
      <c r="CD495" s="728"/>
      <c r="CE495" s="41">
        <f>SUM(CE493:CE494)</f>
        <v>0.44636069461538458</v>
      </c>
    </row>
    <row r="496" spans="1:83" ht="15" customHeight="1" thickBot="1">
      <c r="A496" s="729" t="s">
        <v>35</v>
      </c>
      <c r="B496" s="730"/>
      <c r="C496" s="730"/>
      <c r="D496" s="730"/>
      <c r="E496" s="730"/>
      <c r="F496" s="731"/>
      <c r="H496" s="729" t="s">
        <v>35</v>
      </c>
      <c r="I496" s="730"/>
      <c r="J496" s="730"/>
      <c r="K496" s="730"/>
      <c r="L496" s="730"/>
      <c r="M496" s="731"/>
      <c r="O496" s="729" t="s">
        <v>35</v>
      </c>
      <c r="P496" s="730"/>
      <c r="Q496" s="730"/>
      <c r="R496" s="730"/>
      <c r="S496" s="730"/>
      <c r="T496" s="731"/>
      <c r="V496" s="729" t="s">
        <v>35</v>
      </c>
      <c r="W496" s="730"/>
      <c r="X496" s="730"/>
      <c r="Y496" s="730"/>
      <c r="Z496" s="730"/>
      <c r="AA496" s="731"/>
      <c r="AC496" s="729" t="s">
        <v>35</v>
      </c>
      <c r="AD496" s="730"/>
      <c r="AE496" s="730"/>
      <c r="AF496" s="730"/>
      <c r="AG496" s="730"/>
      <c r="AH496" s="731"/>
      <c r="AJ496" s="729" t="s">
        <v>35</v>
      </c>
      <c r="AK496" s="730"/>
      <c r="AL496" s="730"/>
      <c r="AM496" s="730"/>
      <c r="AN496" s="730"/>
      <c r="AO496" s="731"/>
      <c r="AQ496" s="729" t="s">
        <v>35</v>
      </c>
      <c r="AR496" s="730"/>
      <c r="AS496" s="730"/>
      <c r="AT496" s="730"/>
      <c r="AU496" s="730"/>
      <c r="AV496" s="731"/>
      <c r="AX496" s="729" t="s">
        <v>35</v>
      </c>
      <c r="AY496" s="730"/>
      <c r="AZ496" s="730"/>
      <c r="BA496" s="730"/>
      <c r="BB496" s="730"/>
      <c r="BC496" s="731"/>
      <c r="BE496" s="729" t="s">
        <v>35</v>
      </c>
      <c r="BF496" s="730"/>
      <c r="BG496" s="730"/>
      <c r="BH496" s="730"/>
      <c r="BI496" s="730"/>
      <c r="BJ496" s="731"/>
      <c r="BL496" s="729" t="s">
        <v>35</v>
      </c>
      <c r="BM496" s="730"/>
      <c r="BN496" s="730"/>
      <c r="BO496" s="730"/>
      <c r="BP496" s="730"/>
      <c r="BQ496" s="731"/>
      <c r="BS496" s="729" t="s">
        <v>35</v>
      </c>
      <c r="BT496" s="730"/>
      <c r="BU496" s="730"/>
      <c r="BV496" s="730"/>
      <c r="BW496" s="730"/>
      <c r="BX496" s="731"/>
      <c r="BZ496" s="729" t="s">
        <v>35</v>
      </c>
      <c r="CA496" s="730"/>
      <c r="CB496" s="730"/>
      <c r="CC496" s="730"/>
      <c r="CD496" s="730"/>
      <c r="CE496" s="731"/>
    </row>
    <row r="497" spans="1:83" ht="15" customHeight="1" thickBot="1">
      <c r="A497" s="8" t="s">
        <v>1</v>
      </c>
      <c r="B497" s="5" t="s">
        <v>2</v>
      </c>
      <c r="C497" s="8" t="s">
        <v>3</v>
      </c>
      <c r="D497" s="8" t="s">
        <v>9</v>
      </c>
      <c r="E497" s="8" t="s">
        <v>10</v>
      </c>
      <c r="F497" s="8" t="s">
        <v>11</v>
      </c>
      <c r="H497" s="8" t="s">
        <v>1</v>
      </c>
      <c r="I497" s="5" t="s">
        <v>2</v>
      </c>
      <c r="J497" s="8" t="s">
        <v>3</v>
      </c>
      <c r="K497" s="8" t="s">
        <v>9</v>
      </c>
      <c r="L497" s="8" t="s">
        <v>10</v>
      </c>
      <c r="M497" s="8" t="s">
        <v>11</v>
      </c>
      <c r="O497" s="8" t="s">
        <v>1</v>
      </c>
      <c r="P497" s="5" t="s">
        <v>2</v>
      </c>
      <c r="Q497" s="8" t="s">
        <v>3</v>
      </c>
      <c r="R497" s="8" t="s">
        <v>9</v>
      </c>
      <c r="S497" s="8" t="s">
        <v>10</v>
      </c>
      <c r="T497" s="8" t="s">
        <v>11</v>
      </c>
      <c r="V497" s="8" t="s">
        <v>1</v>
      </c>
      <c r="W497" s="5" t="s">
        <v>2</v>
      </c>
      <c r="X497" s="8" t="s">
        <v>3</v>
      </c>
      <c r="Y497" s="8" t="s">
        <v>9</v>
      </c>
      <c r="Z497" s="8" t="s">
        <v>10</v>
      </c>
      <c r="AA497" s="8" t="s">
        <v>11</v>
      </c>
      <c r="AC497" s="8" t="s">
        <v>1</v>
      </c>
      <c r="AD497" s="5" t="s">
        <v>2</v>
      </c>
      <c r="AE497" s="8" t="s">
        <v>3</v>
      </c>
      <c r="AF497" s="8" t="s">
        <v>9</v>
      </c>
      <c r="AG497" s="8" t="s">
        <v>10</v>
      </c>
      <c r="AH497" s="8" t="s">
        <v>11</v>
      </c>
      <c r="AJ497" s="8" t="s">
        <v>1</v>
      </c>
      <c r="AK497" s="5" t="s">
        <v>2</v>
      </c>
      <c r="AL497" s="8" t="s">
        <v>3</v>
      </c>
      <c r="AM497" s="8" t="s">
        <v>9</v>
      </c>
      <c r="AN497" s="8" t="s">
        <v>10</v>
      </c>
      <c r="AO497" s="8" t="s">
        <v>11</v>
      </c>
      <c r="AQ497" s="8" t="s">
        <v>1</v>
      </c>
      <c r="AR497" s="5" t="s">
        <v>2</v>
      </c>
      <c r="AS497" s="8" t="s">
        <v>3</v>
      </c>
      <c r="AT497" s="8" t="s">
        <v>9</v>
      </c>
      <c r="AU497" s="8" t="s">
        <v>10</v>
      </c>
      <c r="AV497" s="8" t="s">
        <v>11</v>
      </c>
      <c r="AX497" s="8" t="s">
        <v>1</v>
      </c>
      <c r="AY497" s="5" t="s">
        <v>2</v>
      </c>
      <c r="AZ497" s="8" t="s">
        <v>3</v>
      </c>
      <c r="BA497" s="8" t="s">
        <v>9</v>
      </c>
      <c r="BB497" s="8" t="s">
        <v>10</v>
      </c>
      <c r="BC497" s="8" t="s">
        <v>11</v>
      </c>
      <c r="BE497" s="8" t="s">
        <v>1</v>
      </c>
      <c r="BF497" s="5" t="s">
        <v>2</v>
      </c>
      <c r="BG497" s="8" t="s">
        <v>3</v>
      </c>
      <c r="BH497" s="8" t="s">
        <v>9</v>
      </c>
      <c r="BI497" s="8" t="s">
        <v>10</v>
      </c>
      <c r="BJ497" s="8" t="s">
        <v>11</v>
      </c>
      <c r="BL497" s="8" t="s">
        <v>1</v>
      </c>
      <c r="BM497" s="5" t="s">
        <v>2</v>
      </c>
      <c r="BN497" s="8" t="s">
        <v>3</v>
      </c>
      <c r="BO497" s="8" t="s">
        <v>9</v>
      </c>
      <c r="BP497" s="8" t="s">
        <v>10</v>
      </c>
      <c r="BQ497" s="8" t="s">
        <v>11</v>
      </c>
      <c r="BS497" s="8" t="s">
        <v>1</v>
      </c>
      <c r="BT497" s="5" t="s">
        <v>2</v>
      </c>
      <c r="BU497" s="8" t="s">
        <v>3</v>
      </c>
      <c r="BV497" s="8" t="s">
        <v>9</v>
      </c>
      <c r="BW497" s="8" t="s">
        <v>10</v>
      </c>
      <c r="BX497" s="8" t="s">
        <v>11</v>
      </c>
      <c r="BZ497" s="8" t="s">
        <v>1</v>
      </c>
      <c r="CA497" s="5" t="s">
        <v>2</v>
      </c>
      <c r="CB497" s="8" t="s">
        <v>3</v>
      </c>
      <c r="CC497" s="8" t="s">
        <v>9</v>
      </c>
      <c r="CD497" s="8" t="s">
        <v>10</v>
      </c>
      <c r="CE497" s="8" t="s">
        <v>11</v>
      </c>
    </row>
    <row r="498" spans="1:83" ht="15" customHeight="1" thickBot="1">
      <c r="A498" s="463" t="s">
        <v>136</v>
      </c>
      <c r="B498" s="10" t="s">
        <v>36</v>
      </c>
      <c r="C498" s="9" t="s">
        <v>17</v>
      </c>
      <c r="D498" s="11">
        <f>(1*1*0.0375)*1.05</f>
        <v>3.9375E-2</v>
      </c>
      <c r="E498" s="12">
        <f>AUXILIARES!AA66</f>
        <v>1479.9599999999998</v>
      </c>
      <c r="F498" s="13">
        <f>D498*E498</f>
        <v>58.273424999999996</v>
      </c>
      <c r="H498" s="463"/>
      <c r="I498" s="10"/>
      <c r="J498" s="9"/>
      <c r="K498" s="11"/>
      <c r="L498" s="12"/>
      <c r="M498" s="13"/>
      <c r="O498" s="463"/>
      <c r="P498" s="10"/>
      <c r="Q498" s="9"/>
      <c r="R498" s="11"/>
      <c r="S498" s="12"/>
      <c r="T498" s="13"/>
      <c r="V498" s="463" t="s">
        <v>134</v>
      </c>
      <c r="W498" s="543" t="s">
        <v>135</v>
      </c>
      <c r="X498" s="463" t="s">
        <v>17</v>
      </c>
      <c r="Y498" s="11">
        <f>(1*1*0.015)*1.05</f>
        <v>1.575E-2</v>
      </c>
      <c r="Z498" s="12">
        <f>AUXILIARES!T66</f>
        <v>1719.3400000000001</v>
      </c>
      <c r="AA498" s="13">
        <f>Y498*Z498</f>
        <v>27.079605000000001</v>
      </c>
      <c r="AC498" s="16" t="s">
        <v>1093</v>
      </c>
      <c r="AD498" s="17" t="s">
        <v>1101</v>
      </c>
      <c r="AE498" s="16" t="s">
        <v>1094</v>
      </c>
      <c r="AF498" s="30">
        <f>AF484</f>
        <v>0.04</v>
      </c>
      <c r="AG498" s="19">
        <f>AUXILIARES!F140</f>
        <v>60.804654609999993</v>
      </c>
      <c r="AH498" s="20">
        <f>AG498*AF498</f>
        <v>2.4321861843999999</v>
      </c>
      <c r="AJ498" s="463" t="s">
        <v>90</v>
      </c>
      <c r="AK498" s="491" t="s">
        <v>91</v>
      </c>
      <c r="AL498" s="463" t="s">
        <v>17</v>
      </c>
      <c r="AM498" s="11">
        <f>(1*1*0.01)*1.05</f>
        <v>1.0500000000000001E-2</v>
      </c>
      <c r="AN498" s="12">
        <f>AUXILIARES!T37</f>
        <v>0</v>
      </c>
      <c r="AO498" s="13">
        <f>AM498*AN498</f>
        <v>0</v>
      </c>
      <c r="AQ498" s="466" t="s">
        <v>1361</v>
      </c>
      <c r="AR498" s="459" t="s">
        <v>1362</v>
      </c>
      <c r="AS498" s="16" t="s">
        <v>1094</v>
      </c>
      <c r="AT498" s="30">
        <f>AT484</f>
        <v>8.3333333333333329E-2</v>
      </c>
      <c r="AU498" s="19">
        <f>AUXILIARES!M140</f>
        <v>30.402327304999996</v>
      </c>
      <c r="AV498" s="20">
        <f>AU498*AT498</f>
        <v>2.5335272754166662</v>
      </c>
      <c r="AX498" s="466" t="s">
        <v>1361</v>
      </c>
      <c r="AY498" s="459" t="s">
        <v>1362</v>
      </c>
      <c r="AZ498" s="16" t="s">
        <v>1094</v>
      </c>
      <c r="BA498" s="30">
        <f>BA484</f>
        <v>8.3333333333333329E-2</v>
      </c>
      <c r="BB498" s="19">
        <f>AUXILIARES!M140</f>
        <v>30.402327304999996</v>
      </c>
      <c r="BC498" s="20">
        <f>BB498*BA498</f>
        <v>2.5335272754166662</v>
      </c>
      <c r="BE498" s="463" t="s">
        <v>71</v>
      </c>
      <c r="BF498" s="10" t="s">
        <v>36</v>
      </c>
      <c r="BG498" s="9" t="s">
        <v>17</v>
      </c>
      <c r="BH498" s="11">
        <v>2.6249999999999999E-2</v>
      </c>
      <c r="BI498" s="12">
        <f>AUXILIARES!F7</f>
        <v>1479.9599999999998</v>
      </c>
      <c r="BJ498" s="13">
        <f>BH498*BI498</f>
        <v>38.848949999999995</v>
      </c>
      <c r="BL498" s="466" t="s">
        <v>80</v>
      </c>
      <c r="BM498" s="17" t="s">
        <v>70</v>
      </c>
      <c r="BN498" s="16" t="s">
        <v>17</v>
      </c>
      <c r="BO498" s="18">
        <f>OPERACIONES!E52*1.05</f>
        <v>7.9505999999999999E-4</v>
      </c>
      <c r="BP498" s="19">
        <f>AUXILIARES!F13</f>
        <v>6974.5</v>
      </c>
      <c r="BQ498" s="20">
        <f>BO498*BP498</f>
        <v>5.5451459700000001</v>
      </c>
      <c r="BS498" s="466" t="s">
        <v>80</v>
      </c>
      <c r="BT498" s="17" t="s">
        <v>70</v>
      </c>
      <c r="BU498" s="16" t="s">
        <v>17</v>
      </c>
      <c r="BV498" s="18">
        <f>OPERACIONES!E52*1.05</f>
        <v>7.9505999999999999E-4</v>
      </c>
      <c r="BW498" s="19">
        <f>AUXILIARES!F13</f>
        <v>6974.5</v>
      </c>
      <c r="BX498" s="20">
        <f>BV498*BW498</f>
        <v>5.5451459700000001</v>
      </c>
      <c r="BZ498" s="14"/>
      <c r="CA498" s="15"/>
      <c r="CB498" s="14"/>
      <c r="CC498" s="14"/>
      <c r="CD498" s="12"/>
      <c r="CE498" s="13"/>
    </row>
    <row r="499" spans="1:83" ht="15" customHeight="1">
      <c r="A499" s="466" t="s">
        <v>86</v>
      </c>
      <c r="B499" s="460" t="s">
        <v>1140</v>
      </c>
      <c r="C499" s="16" t="s">
        <v>17</v>
      </c>
      <c r="D499" s="18">
        <f>(0.01*0.3*0.015*2*OPERACIONES!F27)*1.05</f>
        <v>1.1339999999999998E-3</v>
      </c>
      <c r="E499" s="19">
        <f>AUXILIARES!F25</f>
        <v>8043.1</v>
      </c>
      <c r="F499" s="20">
        <f>D499*E499</f>
        <v>9.1208753999999992</v>
      </c>
      <c r="H499" s="466"/>
      <c r="I499" s="460"/>
      <c r="J499" s="16"/>
      <c r="K499" s="18"/>
      <c r="L499" s="19"/>
      <c r="M499" s="20"/>
      <c r="O499" s="466"/>
      <c r="P499" s="460"/>
      <c r="Q499" s="16"/>
      <c r="R499" s="18"/>
      <c r="S499" s="19"/>
      <c r="T499" s="20"/>
      <c r="V499" s="16" t="s">
        <v>1093</v>
      </c>
      <c r="W499" s="459" t="s">
        <v>1101</v>
      </c>
      <c r="X499" s="16" t="s">
        <v>1094</v>
      </c>
      <c r="Y499" s="30">
        <f>Y484</f>
        <v>3.7037037037037035E-2</v>
      </c>
      <c r="Z499" s="19">
        <f>AUXILIARES!F140</f>
        <v>60.804654609999993</v>
      </c>
      <c r="AA499" s="13">
        <f>Y499*Z499</f>
        <v>2.2520242448148142</v>
      </c>
      <c r="AC499" s="16"/>
      <c r="AD499" s="17"/>
      <c r="AE499" s="16"/>
      <c r="AF499" s="18"/>
      <c r="AG499" s="19"/>
      <c r="AH499" s="20"/>
      <c r="AJ499" s="466" t="s">
        <v>1361</v>
      </c>
      <c r="AK499" s="459" t="s">
        <v>1362</v>
      </c>
      <c r="AL499" s="466" t="s">
        <v>1094</v>
      </c>
      <c r="AM499" s="30">
        <f>AM484</f>
        <v>8.3333333333333329E-2</v>
      </c>
      <c r="AN499" s="19">
        <f>AUXILIARES!M140</f>
        <v>30.402327304999996</v>
      </c>
      <c r="AO499" s="20">
        <f>AM499*AN499</f>
        <v>2.5335272754166662</v>
      </c>
      <c r="AQ499" s="16"/>
      <c r="AR499" s="17"/>
      <c r="AS499" s="16"/>
      <c r="AT499" s="18"/>
      <c r="AU499" s="19"/>
      <c r="AV499" s="20"/>
      <c r="AX499" s="16"/>
      <c r="AY499" s="17"/>
      <c r="AZ499" s="16"/>
      <c r="BA499" s="18"/>
      <c r="BB499" s="19"/>
      <c r="BC499" s="20"/>
      <c r="BE499" s="466" t="s">
        <v>80</v>
      </c>
      <c r="BF499" s="17" t="s">
        <v>70</v>
      </c>
      <c r="BG499" s="16" t="s">
        <v>17</v>
      </c>
      <c r="BH499" s="18">
        <v>7.5599999999999994E-5</v>
      </c>
      <c r="BI499" s="19">
        <f>AUXILIARES!F13</f>
        <v>6974.5</v>
      </c>
      <c r="BJ499" s="20">
        <f>BH499*BI499</f>
        <v>0.52727219999999997</v>
      </c>
      <c r="BL499" s="466"/>
      <c r="BM499" s="17"/>
      <c r="BN499" s="16"/>
      <c r="BO499" s="18"/>
      <c r="BP499" s="19"/>
      <c r="BQ499" s="20"/>
      <c r="BS499" s="466"/>
      <c r="BT499" s="17"/>
      <c r="BU499" s="16"/>
      <c r="BV499" s="18"/>
      <c r="BW499" s="19"/>
      <c r="BX499" s="20"/>
      <c r="BZ499" s="42"/>
      <c r="CA499" s="43"/>
      <c r="CB499" s="42"/>
      <c r="CC499" s="42"/>
      <c r="CD499" s="44"/>
      <c r="CE499" s="20"/>
    </row>
    <row r="500" spans="1:83" ht="15" customHeight="1" thickBot="1">
      <c r="A500" s="23"/>
      <c r="B500" s="24"/>
      <c r="C500" s="23"/>
      <c r="D500" s="23"/>
      <c r="E500" s="25"/>
      <c r="F500" s="25"/>
      <c r="H500" s="23"/>
      <c r="I500" s="24"/>
      <c r="J500" s="23"/>
      <c r="K500" s="23"/>
      <c r="L500" s="25"/>
      <c r="M500" s="25"/>
      <c r="O500" s="23"/>
      <c r="P500" s="24"/>
      <c r="Q500" s="23"/>
      <c r="R500" s="23"/>
      <c r="S500" s="25"/>
      <c r="T500" s="25"/>
      <c r="V500" s="23"/>
      <c r="W500" s="24"/>
      <c r="X500" s="23"/>
      <c r="Y500" s="23"/>
      <c r="Z500" s="25"/>
      <c r="AA500" s="25"/>
      <c r="AC500" s="23"/>
      <c r="AD500" s="24"/>
      <c r="AE500" s="23"/>
      <c r="AF500" s="23"/>
      <c r="AG500" s="25"/>
      <c r="AH500" s="25"/>
      <c r="AJ500" s="23"/>
      <c r="AL500" s="23"/>
      <c r="AM500" s="23"/>
      <c r="AN500" s="25"/>
      <c r="AO500" s="25"/>
      <c r="AQ500" s="23"/>
      <c r="AR500" s="24"/>
      <c r="AS500" s="23"/>
      <c r="AT500" s="23"/>
      <c r="AU500" s="25"/>
      <c r="AV500" s="25"/>
      <c r="AX500" s="23"/>
      <c r="AY500" s="24"/>
      <c r="AZ500" s="23"/>
      <c r="BA500" s="23"/>
      <c r="BB500" s="25"/>
      <c r="BC500" s="25"/>
      <c r="BE500" s="23"/>
      <c r="BF500" s="24"/>
      <c r="BG500" s="23"/>
      <c r="BH500" s="23"/>
      <c r="BI500" s="25"/>
      <c r="BJ500" s="25"/>
      <c r="BL500" s="23"/>
      <c r="BM500" s="24"/>
      <c r="BN500" s="23"/>
      <c r="BO500" s="23"/>
      <c r="BP500" s="25"/>
      <c r="BQ500" s="25"/>
      <c r="BS500" s="23"/>
      <c r="BT500" s="24"/>
      <c r="BU500" s="23"/>
      <c r="BV500" s="23"/>
      <c r="BW500" s="25"/>
      <c r="BX500" s="25"/>
      <c r="BZ500" s="23"/>
      <c r="CA500" s="24"/>
      <c r="CB500" s="23"/>
      <c r="CC500" s="23"/>
      <c r="CD500" s="34"/>
      <c r="CE500" s="25"/>
    </row>
    <row r="501" spans="1:83" ht="15" customHeight="1" thickBot="1">
      <c r="A501" s="732" t="s">
        <v>43</v>
      </c>
      <c r="B501" s="746"/>
      <c r="C501" s="746"/>
      <c r="D501" s="746"/>
      <c r="E501" s="747"/>
      <c r="F501" s="49">
        <f>SUM(F498:F500)</f>
        <v>67.394300399999992</v>
      </c>
      <c r="H501" s="732" t="s">
        <v>43</v>
      </c>
      <c r="I501" s="746"/>
      <c r="J501" s="746"/>
      <c r="K501" s="746"/>
      <c r="L501" s="747"/>
      <c r="M501" s="49">
        <f>SUM(M498:M500)</f>
        <v>0</v>
      </c>
      <c r="O501" s="732" t="s">
        <v>43</v>
      </c>
      <c r="P501" s="746"/>
      <c r="Q501" s="746"/>
      <c r="R501" s="746"/>
      <c r="S501" s="747"/>
      <c r="T501" s="49">
        <f>SUM(T498:T500)</f>
        <v>0</v>
      </c>
      <c r="V501" s="732" t="s">
        <v>43</v>
      </c>
      <c r="W501" s="746"/>
      <c r="X501" s="746"/>
      <c r="Y501" s="746"/>
      <c r="Z501" s="747"/>
      <c r="AA501" s="49">
        <f>SUM(AA498:AA500)</f>
        <v>29.331629244814813</v>
      </c>
      <c r="AC501" s="732" t="s">
        <v>43</v>
      </c>
      <c r="AD501" s="746"/>
      <c r="AE501" s="746"/>
      <c r="AF501" s="746"/>
      <c r="AG501" s="747"/>
      <c r="AH501" s="49">
        <f>SUM(AH498:AH500)</f>
        <v>2.4321861843999999</v>
      </c>
      <c r="AJ501" s="732" t="s">
        <v>43</v>
      </c>
      <c r="AK501" s="746"/>
      <c r="AL501" s="746"/>
      <c r="AM501" s="746"/>
      <c r="AN501" s="747"/>
      <c r="AO501" s="49">
        <f>SUM(AO498:AO500)</f>
        <v>2.5335272754166662</v>
      </c>
      <c r="AQ501" s="732" t="s">
        <v>43</v>
      </c>
      <c r="AR501" s="746"/>
      <c r="AS501" s="746"/>
      <c r="AT501" s="746"/>
      <c r="AU501" s="747"/>
      <c r="AV501" s="49">
        <f>SUM(AV498:AV500)</f>
        <v>2.5335272754166662</v>
      </c>
      <c r="AX501" s="732" t="s">
        <v>43</v>
      </c>
      <c r="AY501" s="746"/>
      <c r="AZ501" s="746"/>
      <c r="BA501" s="746"/>
      <c r="BB501" s="747"/>
      <c r="BC501" s="49">
        <f>SUM(BC498:BC500)</f>
        <v>2.5335272754166662</v>
      </c>
      <c r="BE501" s="732" t="s">
        <v>43</v>
      </c>
      <c r="BF501" s="746"/>
      <c r="BG501" s="746"/>
      <c r="BH501" s="746"/>
      <c r="BI501" s="747"/>
      <c r="BJ501" s="49">
        <f>SUM(BJ498:BJ500)</f>
        <v>39.376222199999994</v>
      </c>
      <c r="BL501" s="732" t="s">
        <v>43</v>
      </c>
      <c r="BM501" s="746"/>
      <c r="BN501" s="746"/>
      <c r="BO501" s="746"/>
      <c r="BP501" s="747"/>
      <c r="BQ501" s="49">
        <f>SUM(BQ498:BQ500)</f>
        <v>5.5451459700000001</v>
      </c>
      <c r="BS501" s="732" t="s">
        <v>43</v>
      </c>
      <c r="BT501" s="746"/>
      <c r="BU501" s="746"/>
      <c r="BV501" s="746"/>
      <c r="BW501" s="747"/>
      <c r="BX501" s="49">
        <f>SUM(BX498:BX500)</f>
        <v>5.5451459700000001</v>
      </c>
      <c r="BZ501" s="732" t="s">
        <v>43</v>
      </c>
      <c r="CA501" s="746"/>
      <c r="CB501" s="746"/>
      <c r="CC501" s="746"/>
      <c r="CD501" s="747"/>
      <c r="CE501" s="49">
        <f>SUM(CE498:CE500)</f>
        <v>0</v>
      </c>
    </row>
    <row r="502" spans="1:83" ht="15" customHeight="1" thickBot="1">
      <c r="A502" s="50"/>
      <c r="B502" s="51"/>
      <c r="C502" s="52"/>
      <c r="D502" s="52"/>
      <c r="E502" s="52"/>
      <c r="F502" s="52"/>
      <c r="H502" s="50"/>
      <c r="I502" s="51"/>
      <c r="J502" s="52"/>
      <c r="K502" s="52"/>
      <c r="L502" s="52"/>
      <c r="M502" s="52"/>
      <c r="O502" s="50"/>
      <c r="P502" s="51"/>
      <c r="Q502" s="52"/>
      <c r="R502" s="52"/>
      <c r="S502" s="52"/>
      <c r="T502" s="52"/>
      <c r="V502" s="50"/>
      <c r="W502" s="51"/>
      <c r="X502" s="52"/>
      <c r="Y502" s="52"/>
      <c r="Z502" s="52"/>
      <c r="AA502" s="52"/>
      <c r="AC502" s="50"/>
      <c r="AD502" s="51"/>
      <c r="AE502" s="52"/>
      <c r="AF502" s="52"/>
      <c r="AG502" s="52"/>
      <c r="AH502" s="52"/>
      <c r="AJ502" s="50"/>
      <c r="AK502" s="51"/>
      <c r="AL502" s="52"/>
      <c r="AM502" s="52"/>
      <c r="AN502" s="52"/>
      <c r="AO502" s="52"/>
      <c r="AQ502" s="50"/>
      <c r="AR502" s="51"/>
      <c r="AS502" s="52"/>
      <c r="AT502" s="52"/>
      <c r="AU502" s="52"/>
      <c r="AV502" s="52"/>
      <c r="AX502" s="50"/>
      <c r="AY502" s="51"/>
      <c r="AZ502" s="52"/>
      <c r="BA502" s="52"/>
      <c r="BB502" s="52"/>
      <c r="BC502" s="52"/>
      <c r="BE502" s="50"/>
      <c r="BF502" s="51"/>
      <c r="BG502" s="52"/>
      <c r="BH502" s="52"/>
      <c r="BI502" s="52"/>
      <c r="BJ502" s="52"/>
      <c r="BL502" s="50"/>
      <c r="BM502" s="51"/>
      <c r="BN502" s="52"/>
      <c r="BO502" s="52"/>
      <c r="BP502" s="52"/>
      <c r="BQ502" s="52"/>
      <c r="BS502" s="50"/>
      <c r="BT502" s="51"/>
      <c r="BU502" s="52"/>
      <c r="BV502" s="52"/>
      <c r="BW502" s="52"/>
      <c r="BX502" s="52"/>
      <c r="BZ502" s="50"/>
      <c r="CA502" s="51"/>
      <c r="CB502" s="52"/>
      <c r="CC502" s="52"/>
      <c r="CD502" s="52"/>
      <c r="CE502" s="52"/>
    </row>
    <row r="503" spans="1:83" ht="15" customHeight="1" thickBot="1">
      <c r="A503" s="687" t="s">
        <v>44</v>
      </c>
      <c r="B503" s="748"/>
      <c r="C503" s="748"/>
      <c r="D503" s="748"/>
      <c r="E503" s="749"/>
      <c r="F503" s="54">
        <f>SUM(F501,F481,F486,F490,F495)</f>
        <v>340.95284653636355</v>
      </c>
      <c r="H503" s="687" t="s">
        <v>44</v>
      </c>
      <c r="I503" s="748"/>
      <c r="J503" s="748"/>
      <c r="K503" s="748"/>
      <c r="L503" s="749"/>
      <c r="M503" s="54">
        <f>SUM(M501,M481,M486,M490,M495)</f>
        <v>204.90996547333333</v>
      </c>
      <c r="O503" s="687" t="s">
        <v>44</v>
      </c>
      <c r="P503" s="748"/>
      <c r="Q503" s="748"/>
      <c r="R503" s="748"/>
      <c r="S503" s="749"/>
      <c r="T503" s="54">
        <f>SUM(T501,T481,T486,T490,T495)</f>
        <v>76.146884179999986</v>
      </c>
      <c r="V503" s="687" t="s">
        <v>44</v>
      </c>
      <c r="W503" s="748"/>
      <c r="X503" s="748"/>
      <c r="Y503" s="748"/>
      <c r="Z503" s="749"/>
      <c r="AA503" s="54">
        <f>SUM(AA501,AA481,AA486,AA490,AA495)</f>
        <v>74.673655033703696</v>
      </c>
      <c r="AC503" s="687" t="s">
        <v>44</v>
      </c>
      <c r="AD503" s="748"/>
      <c r="AE503" s="748"/>
      <c r="AF503" s="748"/>
      <c r="AG503" s="749"/>
      <c r="AH503" s="54">
        <f>SUM(AH501,AH481,AH486,AH490,AH495)</f>
        <v>62.687890439908763</v>
      </c>
      <c r="AJ503" s="687" t="s">
        <v>44</v>
      </c>
      <c r="AK503" s="748"/>
      <c r="AL503" s="748"/>
      <c r="AM503" s="748"/>
      <c r="AN503" s="749"/>
      <c r="AO503" s="54">
        <f>SUM(AO501,AO481,AO486,AO490,AO495)</f>
        <v>104.29058530041665</v>
      </c>
      <c r="AQ503" s="687" t="s">
        <v>44</v>
      </c>
      <c r="AR503" s="748"/>
      <c r="AS503" s="748"/>
      <c r="AT503" s="748"/>
      <c r="AU503" s="749"/>
      <c r="AV503" s="54">
        <f>SUM(AV501,AV481,AV486,AV490,AV495)</f>
        <v>115.59370170392543</v>
      </c>
      <c r="AX503" s="687" t="s">
        <v>44</v>
      </c>
      <c r="AY503" s="748"/>
      <c r="AZ503" s="748"/>
      <c r="BA503" s="748"/>
      <c r="BB503" s="749"/>
      <c r="BC503" s="54">
        <f>SUM(BC501,BC481,BC486,BC490,BC495)</f>
        <v>115.59370170392543</v>
      </c>
      <c r="BE503" s="687" t="s">
        <v>44</v>
      </c>
      <c r="BF503" s="748"/>
      <c r="BG503" s="748"/>
      <c r="BH503" s="748"/>
      <c r="BI503" s="749"/>
      <c r="BJ503" s="54">
        <f>SUM(BJ501,BJ481,BJ486,BJ490,BJ495)</f>
        <v>397.02851833636356</v>
      </c>
      <c r="BL503" s="687" t="s">
        <v>44</v>
      </c>
      <c r="BM503" s="748"/>
      <c r="BN503" s="748"/>
      <c r="BO503" s="748"/>
      <c r="BP503" s="749"/>
      <c r="BQ503" s="54">
        <f>SUM(BQ501,BQ481,BQ486,BQ490,BQ495)</f>
        <v>354.23374960636357</v>
      </c>
      <c r="BS503" s="687" t="s">
        <v>44</v>
      </c>
      <c r="BT503" s="748"/>
      <c r="BU503" s="748"/>
      <c r="BV503" s="748"/>
      <c r="BW503" s="749"/>
      <c r="BX503" s="54">
        <f>SUM(BX501,BX481,BX486,BX490,BX495)</f>
        <v>222.35445346999998</v>
      </c>
      <c r="BZ503" s="687" t="s">
        <v>44</v>
      </c>
      <c r="CA503" s="748"/>
      <c r="CB503" s="748"/>
      <c r="CC503" s="748"/>
      <c r="CD503" s="749"/>
      <c r="CE503" s="54">
        <f>SUM(CE501,CE481,CE486,CE490,CE495)</f>
        <v>306.93793646730768</v>
      </c>
    </row>
    <row r="504" spans="1:83" ht="15" customHeight="1" thickBot="1">
      <c r="A504" s="687" t="s">
        <v>45</v>
      </c>
      <c r="B504" s="688"/>
      <c r="C504" s="688"/>
      <c r="D504" s="688"/>
      <c r="E504" s="55"/>
      <c r="F504" s="54"/>
      <c r="H504" s="687" t="s">
        <v>45</v>
      </c>
      <c r="I504" s="688"/>
      <c r="J504" s="688"/>
      <c r="K504" s="688"/>
      <c r="L504" s="55"/>
      <c r="M504" s="54"/>
      <c r="O504" s="687" t="s">
        <v>45</v>
      </c>
      <c r="P504" s="688"/>
      <c r="Q504" s="688"/>
      <c r="R504" s="688"/>
      <c r="S504" s="55"/>
      <c r="T504" s="54"/>
      <c r="V504" s="687" t="s">
        <v>45</v>
      </c>
      <c r="W504" s="688"/>
      <c r="X504" s="688"/>
      <c r="Y504" s="688"/>
      <c r="Z504" s="55"/>
      <c r="AA504" s="54"/>
      <c r="AC504" s="687" t="s">
        <v>45</v>
      </c>
      <c r="AD504" s="688"/>
      <c r="AE504" s="688"/>
      <c r="AF504" s="688"/>
      <c r="AG504" s="55"/>
      <c r="AH504" s="54"/>
      <c r="AJ504" s="687" t="s">
        <v>45</v>
      </c>
      <c r="AK504" s="688"/>
      <c r="AL504" s="688"/>
      <c r="AM504" s="688"/>
      <c r="AN504" s="55"/>
      <c r="AO504" s="54"/>
      <c r="AQ504" s="687" t="s">
        <v>45</v>
      </c>
      <c r="AR504" s="688"/>
      <c r="AS504" s="688"/>
      <c r="AT504" s="688"/>
      <c r="AU504" s="55"/>
      <c r="AV504" s="54"/>
      <c r="AX504" s="687" t="s">
        <v>45</v>
      </c>
      <c r="AY504" s="688"/>
      <c r="AZ504" s="688"/>
      <c r="BA504" s="688"/>
      <c r="BB504" s="55"/>
      <c r="BC504" s="54"/>
      <c r="BE504" s="687" t="s">
        <v>45</v>
      </c>
      <c r="BF504" s="688"/>
      <c r="BG504" s="688"/>
      <c r="BH504" s="688"/>
      <c r="BI504" s="55"/>
      <c r="BJ504" s="54"/>
      <c r="BL504" s="687" t="s">
        <v>45</v>
      </c>
      <c r="BM504" s="688"/>
      <c r="BN504" s="688"/>
      <c r="BO504" s="688"/>
      <c r="BP504" s="55"/>
      <c r="BQ504" s="54"/>
      <c r="BS504" s="687" t="s">
        <v>45</v>
      </c>
      <c r="BT504" s="688"/>
      <c r="BU504" s="688"/>
      <c r="BV504" s="688"/>
      <c r="BW504" s="55"/>
      <c r="BX504" s="54"/>
      <c r="BZ504" s="687" t="s">
        <v>45</v>
      </c>
      <c r="CA504" s="688"/>
      <c r="CB504" s="688"/>
      <c r="CC504" s="688"/>
      <c r="CD504" s="55"/>
      <c r="CE504" s="54"/>
    </row>
    <row r="505" spans="1:83" ht="15" customHeight="1" thickBot="1">
      <c r="A505" s="687" t="s">
        <v>46</v>
      </c>
      <c r="B505" s="688"/>
      <c r="C505" s="688"/>
      <c r="D505" s="688"/>
      <c r="E505" s="689"/>
      <c r="F505" s="54"/>
      <c r="H505" s="687" t="s">
        <v>46</v>
      </c>
      <c r="I505" s="688"/>
      <c r="J505" s="688"/>
      <c r="K505" s="688"/>
      <c r="L505" s="689"/>
      <c r="M505" s="54"/>
      <c r="O505" s="687" t="s">
        <v>46</v>
      </c>
      <c r="P505" s="688"/>
      <c r="Q505" s="688"/>
      <c r="R505" s="688"/>
      <c r="S505" s="689"/>
      <c r="T505" s="54"/>
      <c r="V505" s="687" t="s">
        <v>46</v>
      </c>
      <c r="W505" s="688"/>
      <c r="X505" s="688"/>
      <c r="Y505" s="688"/>
      <c r="Z505" s="689"/>
      <c r="AA505" s="54"/>
      <c r="AC505" s="687" t="s">
        <v>46</v>
      </c>
      <c r="AD505" s="688"/>
      <c r="AE505" s="688"/>
      <c r="AF505" s="688"/>
      <c r="AG505" s="689"/>
      <c r="AH505" s="54"/>
      <c r="AJ505" s="687" t="s">
        <v>46</v>
      </c>
      <c r="AK505" s="688"/>
      <c r="AL505" s="688"/>
      <c r="AM505" s="688"/>
      <c r="AN505" s="689"/>
      <c r="AO505" s="54"/>
      <c r="AQ505" s="687" t="s">
        <v>46</v>
      </c>
      <c r="AR505" s="688"/>
      <c r="AS505" s="688"/>
      <c r="AT505" s="688"/>
      <c r="AU505" s="689"/>
      <c r="AV505" s="54"/>
      <c r="AX505" s="687" t="s">
        <v>46</v>
      </c>
      <c r="AY505" s="688"/>
      <c r="AZ505" s="688"/>
      <c r="BA505" s="688"/>
      <c r="BB505" s="689"/>
      <c r="BC505" s="54"/>
      <c r="BE505" s="687" t="s">
        <v>46</v>
      </c>
      <c r="BF505" s="688"/>
      <c r="BG505" s="688"/>
      <c r="BH505" s="688"/>
      <c r="BI505" s="689"/>
      <c r="BJ505" s="54"/>
      <c r="BL505" s="687" t="s">
        <v>46</v>
      </c>
      <c r="BM505" s="688"/>
      <c r="BN505" s="688"/>
      <c r="BO505" s="688"/>
      <c r="BP505" s="689"/>
      <c r="BQ505" s="54"/>
      <c r="BS505" s="687" t="s">
        <v>46</v>
      </c>
      <c r="BT505" s="688"/>
      <c r="BU505" s="688"/>
      <c r="BV505" s="688"/>
      <c r="BW505" s="689"/>
      <c r="BX505" s="54"/>
      <c r="BZ505" s="687" t="s">
        <v>46</v>
      </c>
      <c r="CA505" s="688"/>
      <c r="CB505" s="688"/>
      <c r="CC505" s="688"/>
      <c r="CD505" s="689"/>
      <c r="CE505" s="54"/>
    </row>
    <row r="506" spans="1:83" ht="15" customHeight="1" thickBot="1">
      <c r="A506" s="687" t="s">
        <v>47</v>
      </c>
      <c r="B506" s="688"/>
      <c r="C506" s="688"/>
      <c r="D506" s="688"/>
      <c r="E506" s="56"/>
      <c r="F506" s="54"/>
      <c r="H506" s="687" t="s">
        <v>47</v>
      </c>
      <c r="I506" s="688"/>
      <c r="J506" s="688"/>
      <c r="K506" s="688"/>
      <c r="L506" s="56"/>
      <c r="M506" s="54"/>
      <c r="O506" s="687" t="s">
        <v>47</v>
      </c>
      <c r="P506" s="688"/>
      <c r="Q506" s="688"/>
      <c r="R506" s="688"/>
      <c r="S506" s="56"/>
      <c r="T506" s="54"/>
      <c r="V506" s="687" t="s">
        <v>47</v>
      </c>
      <c r="W506" s="688"/>
      <c r="X506" s="688"/>
      <c r="Y506" s="688"/>
      <c r="Z506" s="56"/>
      <c r="AA506" s="54"/>
      <c r="AC506" s="687" t="s">
        <v>47</v>
      </c>
      <c r="AD506" s="688"/>
      <c r="AE506" s="688"/>
      <c r="AF506" s="688"/>
      <c r="AG506" s="56"/>
      <c r="AH506" s="54"/>
      <c r="AJ506" s="687" t="s">
        <v>47</v>
      </c>
      <c r="AK506" s="688"/>
      <c r="AL506" s="688"/>
      <c r="AM506" s="688"/>
      <c r="AN506" s="56"/>
      <c r="AO506" s="54"/>
      <c r="AQ506" s="687" t="s">
        <v>47</v>
      </c>
      <c r="AR506" s="688"/>
      <c r="AS506" s="688"/>
      <c r="AT506" s="688"/>
      <c r="AU506" s="56"/>
      <c r="AV506" s="54"/>
      <c r="AX506" s="687" t="s">
        <v>47</v>
      </c>
      <c r="AY506" s="688"/>
      <c r="AZ506" s="688"/>
      <c r="BA506" s="688"/>
      <c r="BB506" s="56"/>
      <c r="BC506" s="54"/>
      <c r="BE506" s="687" t="s">
        <v>47</v>
      </c>
      <c r="BF506" s="688"/>
      <c r="BG506" s="688"/>
      <c r="BH506" s="688"/>
      <c r="BI506" s="56"/>
      <c r="BJ506" s="54"/>
      <c r="BL506" s="687" t="s">
        <v>47</v>
      </c>
      <c r="BM506" s="688"/>
      <c r="BN506" s="688"/>
      <c r="BO506" s="688"/>
      <c r="BP506" s="56"/>
      <c r="BQ506" s="54"/>
      <c r="BS506" s="687" t="s">
        <v>47</v>
      </c>
      <c r="BT506" s="688"/>
      <c r="BU506" s="688"/>
      <c r="BV506" s="688"/>
      <c r="BW506" s="56"/>
      <c r="BX506" s="54"/>
      <c r="BZ506" s="687" t="s">
        <v>47</v>
      </c>
      <c r="CA506" s="688"/>
      <c r="CB506" s="688"/>
      <c r="CC506" s="688"/>
      <c r="CD506" s="56"/>
      <c r="CE506" s="54"/>
    </row>
    <row r="507" spans="1:83" ht="15" customHeight="1" thickBot="1">
      <c r="A507" s="687" t="s">
        <v>46</v>
      </c>
      <c r="B507" s="688"/>
      <c r="C507" s="688"/>
      <c r="D507" s="688"/>
      <c r="E507" s="689"/>
      <c r="F507" s="54"/>
      <c r="H507" s="687" t="s">
        <v>46</v>
      </c>
      <c r="I507" s="688"/>
      <c r="J507" s="688"/>
      <c r="K507" s="688"/>
      <c r="L507" s="689"/>
      <c r="M507" s="54"/>
      <c r="O507" s="687" t="s">
        <v>46</v>
      </c>
      <c r="P507" s="688"/>
      <c r="Q507" s="688"/>
      <c r="R507" s="688"/>
      <c r="S507" s="689"/>
      <c r="T507" s="54"/>
      <c r="V507" s="687" t="s">
        <v>46</v>
      </c>
      <c r="W507" s="688"/>
      <c r="X507" s="688"/>
      <c r="Y507" s="688"/>
      <c r="Z507" s="689"/>
      <c r="AA507" s="54"/>
      <c r="AC507" s="687" t="s">
        <v>46</v>
      </c>
      <c r="AD507" s="688"/>
      <c r="AE507" s="688"/>
      <c r="AF507" s="688"/>
      <c r="AG507" s="689"/>
      <c r="AH507" s="54"/>
      <c r="AJ507" s="687" t="s">
        <v>46</v>
      </c>
      <c r="AK507" s="688"/>
      <c r="AL507" s="688"/>
      <c r="AM507" s="688"/>
      <c r="AN507" s="689"/>
      <c r="AO507" s="54"/>
      <c r="AQ507" s="687" t="s">
        <v>46</v>
      </c>
      <c r="AR507" s="688"/>
      <c r="AS507" s="688"/>
      <c r="AT507" s="688"/>
      <c r="AU507" s="689"/>
      <c r="AV507" s="54"/>
      <c r="AX507" s="687" t="s">
        <v>46</v>
      </c>
      <c r="AY507" s="688"/>
      <c r="AZ507" s="688"/>
      <c r="BA507" s="688"/>
      <c r="BB507" s="689"/>
      <c r="BC507" s="54"/>
      <c r="BE507" s="687" t="s">
        <v>46</v>
      </c>
      <c r="BF507" s="688"/>
      <c r="BG507" s="688"/>
      <c r="BH507" s="688"/>
      <c r="BI507" s="689"/>
      <c r="BJ507" s="54"/>
      <c r="BL507" s="687" t="s">
        <v>46</v>
      </c>
      <c r="BM507" s="688"/>
      <c r="BN507" s="688"/>
      <c r="BO507" s="688"/>
      <c r="BP507" s="689"/>
      <c r="BQ507" s="54"/>
      <c r="BS507" s="687" t="s">
        <v>46</v>
      </c>
      <c r="BT507" s="688"/>
      <c r="BU507" s="688"/>
      <c r="BV507" s="688"/>
      <c r="BW507" s="689"/>
      <c r="BX507" s="54"/>
      <c r="BZ507" s="687" t="s">
        <v>46</v>
      </c>
      <c r="CA507" s="688"/>
      <c r="CB507" s="688"/>
      <c r="CC507" s="688"/>
      <c r="CD507" s="689"/>
      <c r="CE507" s="54"/>
    </row>
    <row r="508" spans="1:83" ht="15" customHeight="1" thickBot="1">
      <c r="A508" s="687" t="s">
        <v>48</v>
      </c>
      <c r="B508" s="688"/>
      <c r="C508" s="688"/>
      <c r="D508" s="688"/>
      <c r="E508" s="55"/>
      <c r="F508" s="54"/>
      <c r="H508" s="687" t="s">
        <v>48</v>
      </c>
      <c r="I508" s="688"/>
      <c r="J508" s="688"/>
      <c r="K508" s="688"/>
      <c r="L508" s="55"/>
      <c r="M508" s="54"/>
      <c r="O508" s="687" t="s">
        <v>48</v>
      </c>
      <c r="P508" s="688"/>
      <c r="Q508" s="688"/>
      <c r="R508" s="688"/>
      <c r="S508" s="55"/>
      <c r="T508" s="54"/>
      <c r="V508" s="687" t="s">
        <v>48</v>
      </c>
      <c r="W508" s="688"/>
      <c r="X508" s="688"/>
      <c r="Y508" s="688"/>
      <c r="Z508" s="55"/>
      <c r="AA508" s="54"/>
      <c r="AC508" s="687" t="s">
        <v>48</v>
      </c>
      <c r="AD508" s="688"/>
      <c r="AE508" s="688"/>
      <c r="AF508" s="688"/>
      <c r="AG508" s="55"/>
      <c r="AH508" s="54"/>
      <c r="AJ508" s="687" t="s">
        <v>48</v>
      </c>
      <c r="AK508" s="688"/>
      <c r="AL508" s="688"/>
      <c r="AM508" s="688"/>
      <c r="AN508" s="55"/>
      <c r="AO508" s="54"/>
      <c r="AQ508" s="687" t="s">
        <v>48</v>
      </c>
      <c r="AR508" s="688"/>
      <c r="AS508" s="688"/>
      <c r="AT508" s="688"/>
      <c r="AU508" s="55"/>
      <c r="AV508" s="54"/>
      <c r="AX508" s="687" t="s">
        <v>48</v>
      </c>
      <c r="AY508" s="688"/>
      <c r="AZ508" s="688"/>
      <c r="BA508" s="688"/>
      <c r="BB508" s="55"/>
      <c r="BC508" s="54"/>
      <c r="BE508" s="687" t="s">
        <v>48</v>
      </c>
      <c r="BF508" s="688"/>
      <c r="BG508" s="688"/>
      <c r="BH508" s="688"/>
      <c r="BI508" s="55"/>
      <c r="BJ508" s="54"/>
      <c r="BL508" s="687" t="s">
        <v>48</v>
      </c>
      <c r="BM508" s="688"/>
      <c r="BN508" s="688"/>
      <c r="BO508" s="688"/>
      <c r="BP508" s="55"/>
      <c r="BQ508" s="54"/>
      <c r="BS508" s="687" t="s">
        <v>48</v>
      </c>
      <c r="BT508" s="688"/>
      <c r="BU508" s="688"/>
      <c r="BV508" s="688"/>
      <c r="BW508" s="55"/>
      <c r="BX508" s="54"/>
      <c r="BZ508" s="687" t="s">
        <v>48</v>
      </c>
      <c r="CA508" s="688"/>
      <c r="CB508" s="688"/>
      <c r="CC508" s="688"/>
      <c r="CD508" s="55"/>
      <c r="CE508" s="54"/>
    </row>
    <row r="509" spans="1:83" ht="15" customHeight="1" thickBot="1">
      <c r="A509" s="687" t="s">
        <v>46</v>
      </c>
      <c r="B509" s="688"/>
      <c r="C509" s="688"/>
      <c r="D509" s="688"/>
      <c r="E509" s="689"/>
      <c r="F509" s="54"/>
      <c r="H509" s="687" t="s">
        <v>46</v>
      </c>
      <c r="I509" s="688"/>
      <c r="J509" s="688"/>
      <c r="K509" s="688"/>
      <c r="L509" s="689"/>
      <c r="M509" s="54"/>
      <c r="O509" s="687" t="s">
        <v>46</v>
      </c>
      <c r="P509" s="688"/>
      <c r="Q509" s="688"/>
      <c r="R509" s="688"/>
      <c r="S509" s="689"/>
      <c r="T509" s="54"/>
      <c r="V509" s="687" t="s">
        <v>46</v>
      </c>
      <c r="W509" s="688"/>
      <c r="X509" s="688"/>
      <c r="Y509" s="688"/>
      <c r="Z509" s="689"/>
      <c r="AA509" s="54"/>
      <c r="AC509" s="687" t="s">
        <v>46</v>
      </c>
      <c r="AD509" s="688"/>
      <c r="AE509" s="688"/>
      <c r="AF509" s="688"/>
      <c r="AG509" s="689"/>
      <c r="AH509" s="54"/>
      <c r="AJ509" s="687" t="s">
        <v>46</v>
      </c>
      <c r="AK509" s="688"/>
      <c r="AL509" s="688"/>
      <c r="AM509" s="688"/>
      <c r="AN509" s="689"/>
      <c r="AO509" s="54"/>
      <c r="AQ509" s="687" t="s">
        <v>46</v>
      </c>
      <c r="AR509" s="688"/>
      <c r="AS509" s="688"/>
      <c r="AT509" s="688"/>
      <c r="AU509" s="689"/>
      <c r="AV509" s="54"/>
      <c r="AX509" s="687" t="s">
        <v>46</v>
      </c>
      <c r="AY509" s="688"/>
      <c r="AZ509" s="688"/>
      <c r="BA509" s="688"/>
      <c r="BB509" s="689"/>
      <c r="BC509" s="54"/>
      <c r="BE509" s="687" t="s">
        <v>46</v>
      </c>
      <c r="BF509" s="688"/>
      <c r="BG509" s="688"/>
      <c r="BH509" s="688"/>
      <c r="BI509" s="689"/>
      <c r="BJ509" s="54"/>
      <c r="BL509" s="687" t="s">
        <v>46</v>
      </c>
      <c r="BM509" s="688"/>
      <c r="BN509" s="688"/>
      <c r="BO509" s="688"/>
      <c r="BP509" s="689"/>
      <c r="BQ509" s="54"/>
      <c r="BS509" s="687" t="s">
        <v>46</v>
      </c>
      <c r="BT509" s="688"/>
      <c r="BU509" s="688"/>
      <c r="BV509" s="688"/>
      <c r="BW509" s="689"/>
      <c r="BX509" s="54"/>
      <c r="BZ509" s="687" t="s">
        <v>46</v>
      </c>
      <c r="CA509" s="688"/>
      <c r="CB509" s="688"/>
      <c r="CC509" s="688"/>
      <c r="CD509" s="689"/>
      <c r="CE509" s="54"/>
    </row>
    <row r="510" spans="1:83" ht="15" customHeight="1" thickBot="1">
      <c r="A510" s="687" t="s">
        <v>49</v>
      </c>
      <c r="B510" s="688"/>
      <c r="C510" s="688"/>
      <c r="D510" s="688"/>
      <c r="E510" s="56"/>
      <c r="F510" s="54"/>
      <c r="H510" s="687" t="s">
        <v>49</v>
      </c>
      <c r="I510" s="688"/>
      <c r="J510" s="688"/>
      <c r="K510" s="688"/>
      <c r="L510" s="56"/>
      <c r="M510" s="54"/>
      <c r="O510" s="687" t="s">
        <v>49</v>
      </c>
      <c r="P510" s="688"/>
      <c r="Q510" s="688"/>
      <c r="R510" s="688"/>
      <c r="S510" s="56"/>
      <c r="T510" s="54"/>
      <c r="V510" s="687" t="s">
        <v>49</v>
      </c>
      <c r="W510" s="688"/>
      <c r="X510" s="688"/>
      <c r="Y510" s="688"/>
      <c r="Z510" s="56"/>
      <c r="AA510" s="54"/>
      <c r="AC510" s="687" t="s">
        <v>49</v>
      </c>
      <c r="AD510" s="688"/>
      <c r="AE510" s="688"/>
      <c r="AF510" s="688"/>
      <c r="AG510" s="56"/>
      <c r="AH510" s="54"/>
      <c r="AJ510" s="687" t="s">
        <v>49</v>
      </c>
      <c r="AK510" s="688"/>
      <c r="AL510" s="688"/>
      <c r="AM510" s="688"/>
      <c r="AN510" s="56"/>
      <c r="AO510" s="54"/>
      <c r="AQ510" s="687" t="s">
        <v>49</v>
      </c>
      <c r="AR510" s="688"/>
      <c r="AS510" s="688"/>
      <c r="AT510" s="688"/>
      <c r="AU510" s="56"/>
      <c r="AV510" s="54"/>
      <c r="AX510" s="687" t="s">
        <v>49</v>
      </c>
      <c r="AY510" s="688"/>
      <c r="AZ510" s="688"/>
      <c r="BA510" s="688"/>
      <c r="BB510" s="56"/>
      <c r="BC510" s="54"/>
      <c r="BE510" s="687" t="s">
        <v>49</v>
      </c>
      <c r="BF510" s="688"/>
      <c r="BG510" s="688"/>
      <c r="BH510" s="688"/>
      <c r="BI510" s="56"/>
      <c r="BJ510" s="54"/>
      <c r="BL510" s="687" t="s">
        <v>49</v>
      </c>
      <c r="BM510" s="688"/>
      <c r="BN510" s="688"/>
      <c r="BO510" s="688"/>
      <c r="BP510" s="56"/>
      <c r="BQ510" s="54"/>
      <c r="BS510" s="687" t="s">
        <v>49</v>
      </c>
      <c r="BT510" s="688"/>
      <c r="BU510" s="688"/>
      <c r="BV510" s="688"/>
      <c r="BW510" s="56"/>
      <c r="BX510" s="54"/>
      <c r="BZ510" s="687" t="s">
        <v>49</v>
      </c>
      <c r="CA510" s="688"/>
      <c r="CB510" s="688"/>
      <c r="CC510" s="688"/>
      <c r="CD510" s="56"/>
      <c r="CE510" s="54"/>
    </row>
    <row r="511" spans="1:83" ht="15" customHeight="1" thickBot="1">
      <c r="A511" s="690" t="s">
        <v>50</v>
      </c>
      <c r="B511" s="691"/>
      <c r="C511" s="691"/>
      <c r="D511" s="691"/>
      <c r="E511" s="692"/>
      <c r="F511" s="57"/>
      <c r="H511" s="690" t="s">
        <v>50</v>
      </c>
      <c r="I511" s="691"/>
      <c r="J511" s="691"/>
      <c r="K511" s="691"/>
      <c r="L511" s="692"/>
      <c r="M511" s="57"/>
      <c r="O511" s="690" t="s">
        <v>50</v>
      </c>
      <c r="P511" s="691"/>
      <c r="Q511" s="691"/>
      <c r="R511" s="691"/>
      <c r="S511" s="692"/>
      <c r="T511" s="57"/>
      <c r="V511" s="690" t="s">
        <v>50</v>
      </c>
      <c r="W511" s="691"/>
      <c r="X511" s="691"/>
      <c r="Y511" s="691"/>
      <c r="Z511" s="692"/>
      <c r="AA511" s="57"/>
      <c r="AC511" s="690" t="s">
        <v>50</v>
      </c>
      <c r="AD511" s="691"/>
      <c r="AE511" s="691"/>
      <c r="AF511" s="691"/>
      <c r="AG511" s="692"/>
      <c r="AH511" s="57"/>
      <c r="AJ511" s="690" t="s">
        <v>50</v>
      </c>
      <c r="AK511" s="691"/>
      <c r="AL511" s="691"/>
      <c r="AM511" s="691"/>
      <c r="AN511" s="692"/>
      <c r="AO511" s="57"/>
      <c r="AQ511" s="690" t="s">
        <v>50</v>
      </c>
      <c r="AR511" s="691"/>
      <c r="AS511" s="691"/>
      <c r="AT511" s="691"/>
      <c r="AU511" s="692"/>
      <c r="AV511" s="57"/>
      <c r="AX511" s="690" t="s">
        <v>50</v>
      </c>
      <c r="AY511" s="691"/>
      <c r="AZ511" s="691"/>
      <c r="BA511" s="691"/>
      <c r="BB511" s="692"/>
      <c r="BC511" s="57"/>
      <c r="BE511" s="690" t="s">
        <v>50</v>
      </c>
      <c r="BF511" s="691"/>
      <c r="BG511" s="691"/>
      <c r="BH511" s="691"/>
      <c r="BI511" s="692"/>
      <c r="BJ511" s="57"/>
      <c r="BL511" s="690" t="s">
        <v>50</v>
      </c>
      <c r="BM511" s="691"/>
      <c r="BN511" s="691"/>
      <c r="BO511" s="691"/>
      <c r="BP511" s="692"/>
      <c r="BQ511" s="57"/>
      <c r="BS511" s="690" t="s">
        <v>50</v>
      </c>
      <c r="BT511" s="691"/>
      <c r="BU511" s="691"/>
      <c r="BV511" s="691"/>
      <c r="BW511" s="692"/>
      <c r="BX511" s="57"/>
      <c r="BZ511" s="690" t="s">
        <v>50</v>
      </c>
      <c r="CA511" s="691"/>
      <c r="CB511" s="691"/>
      <c r="CC511" s="691"/>
      <c r="CD511" s="692"/>
      <c r="CE511" s="57"/>
    </row>
    <row r="512" spans="1:83" ht="15" customHeight="1" thickBot="1">
      <c r="A512" s="693" t="s">
        <v>1433</v>
      </c>
      <c r="B512" s="694"/>
      <c r="C512" s="694"/>
      <c r="D512" s="694"/>
      <c r="E512" s="694"/>
      <c r="F512" s="695"/>
      <c r="H512" s="693" t="s">
        <v>1434</v>
      </c>
      <c r="I512" s="694"/>
      <c r="J512" s="694"/>
      <c r="K512" s="694"/>
      <c r="L512" s="694"/>
      <c r="M512" s="695"/>
      <c r="O512" s="693" t="s">
        <v>1435</v>
      </c>
      <c r="P512" s="694"/>
      <c r="Q512" s="694"/>
      <c r="R512" s="694"/>
      <c r="S512" s="694"/>
      <c r="T512" s="695"/>
      <c r="V512" s="693" t="s">
        <v>1436</v>
      </c>
      <c r="W512" s="694"/>
      <c r="X512" s="694"/>
      <c r="Y512" s="694"/>
      <c r="Z512" s="694"/>
      <c r="AA512" s="695"/>
      <c r="AC512" s="693" t="s">
        <v>1437</v>
      </c>
      <c r="AD512" s="694"/>
      <c r="AE512" s="694"/>
      <c r="AF512" s="694"/>
      <c r="AG512" s="694"/>
      <c r="AH512" s="695"/>
      <c r="AJ512" s="693" t="s">
        <v>1438</v>
      </c>
      <c r="AK512" s="694"/>
      <c r="AL512" s="694"/>
      <c r="AM512" s="694"/>
      <c r="AN512" s="694"/>
      <c r="AO512" s="695"/>
      <c r="AQ512" s="693" t="s">
        <v>1439</v>
      </c>
      <c r="AR512" s="694"/>
      <c r="AS512" s="694"/>
      <c r="AT512" s="694"/>
      <c r="AU512" s="694"/>
      <c r="AV512" s="695"/>
      <c r="AX512" s="693" t="s">
        <v>1439</v>
      </c>
      <c r="AY512" s="694"/>
      <c r="AZ512" s="694"/>
      <c r="BA512" s="694"/>
      <c r="BB512" s="694"/>
      <c r="BC512" s="695"/>
      <c r="BE512" s="693" t="s">
        <v>1440</v>
      </c>
      <c r="BF512" s="694"/>
      <c r="BG512" s="694"/>
      <c r="BH512" s="694"/>
      <c r="BI512" s="694"/>
      <c r="BJ512" s="695"/>
      <c r="BL512" s="693" t="s">
        <v>1441</v>
      </c>
      <c r="BM512" s="694"/>
      <c r="BN512" s="694"/>
      <c r="BO512" s="694"/>
      <c r="BP512" s="694"/>
      <c r="BQ512" s="695"/>
      <c r="BS512" s="693" t="s">
        <v>1442</v>
      </c>
      <c r="BT512" s="694"/>
      <c r="BU512" s="694"/>
      <c r="BV512" s="694"/>
      <c r="BW512" s="694"/>
      <c r="BX512" s="695"/>
      <c r="BZ512" s="693" t="s">
        <v>1443</v>
      </c>
      <c r="CA512" s="694"/>
      <c r="CB512" s="694"/>
      <c r="CC512" s="694"/>
      <c r="CD512" s="694"/>
      <c r="CE512" s="695"/>
    </row>
    <row r="513" spans="1:256" ht="15" customHeight="1" thickBot="1">
      <c r="V513" s="228"/>
      <c r="W513" s="228"/>
      <c r="X513" s="228"/>
      <c r="Y513" s="228"/>
      <c r="Z513" s="228"/>
      <c r="AA513" s="228"/>
      <c r="AJ513" s="228"/>
      <c r="AK513" s="228"/>
      <c r="AL513" s="228"/>
      <c r="AM513" s="228"/>
      <c r="AN513" s="228"/>
      <c r="AO513" s="228"/>
    </row>
    <row r="514" spans="1:256" ht="15" customHeight="1" thickBot="1">
      <c r="A514" s="696" t="s">
        <v>0</v>
      </c>
      <c r="B514" s="697"/>
      <c r="C514" s="697"/>
      <c r="D514" s="697"/>
      <c r="E514" s="697"/>
      <c r="F514" s="698"/>
      <c r="H514" s="696" t="s">
        <v>0</v>
      </c>
      <c r="I514" s="697"/>
      <c r="J514" s="697"/>
      <c r="K514" s="697"/>
      <c r="L514" s="697"/>
      <c r="M514" s="698"/>
      <c r="O514" s="696" t="s">
        <v>0</v>
      </c>
      <c r="P514" s="697"/>
      <c r="Q514" s="697"/>
      <c r="R514" s="697"/>
      <c r="S514" s="697"/>
      <c r="T514" s="698"/>
      <c r="V514" s="770" t="s">
        <v>0</v>
      </c>
      <c r="W514" s="771"/>
      <c r="X514" s="771"/>
      <c r="Y514" s="771"/>
      <c r="Z514" s="771"/>
      <c r="AA514" s="772"/>
      <c r="AC514" s="696" t="s">
        <v>0</v>
      </c>
      <c r="AD514" s="697"/>
      <c r="AE514" s="697"/>
      <c r="AF514" s="697"/>
      <c r="AG514" s="697"/>
      <c r="AH514" s="698"/>
      <c r="AJ514" s="696" t="s">
        <v>0</v>
      </c>
      <c r="AK514" s="697"/>
      <c r="AL514" s="697"/>
      <c r="AM514" s="697"/>
      <c r="AN514" s="697"/>
      <c r="AO514" s="698"/>
    </row>
    <row r="515" spans="1:256" ht="15" customHeight="1" thickBot="1">
      <c r="A515" s="3" t="s">
        <v>1</v>
      </c>
      <c r="B515" s="693" t="s">
        <v>2</v>
      </c>
      <c r="C515" s="694"/>
      <c r="D515" s="694"/>
      <c r="E515" s="695"/>
      <c r="F515" s="3" t="s">
        <v>3</v>
      </c>
      <c r="H515" s="3" t="s">
        <v>1</v>
      </c>
      <c r="I515" s="693" t="s">
        <v>2</v>
      </c>
      <c r="J515" s="694"/>
      <c r="K515" s="694"/>
      <c r="L515" s="695"/>
      <c r="M515" s="3" t="s">
        <v>3</v>
      </c>
      <c r="O515" s="3" t="s">
        <v>1</v>
      </c>
      <c r="P515" s="693" t="s">
        <v>2</v>
      </c>
      <c r="Q515" s="694"/>
      <c r="R515" s="694"/>
      <c r="S515" s="695"/>
      <c r="T515" s="3" t="s">
        <v>3</v>
      </c>
      <c r="V515" s="3" t="s">
        <v>1</v>
      </c>
      <c r="W515" s="693" t="s">
        <v>2</v>
      </c>
      <c r="X515" s="694"/>
      <c r="Y515" s="694"/>
      <c r="Z515" s="695"/>
      <c r="AA515" s="3" t="s">
        <v>3</v>
      </c>
      <c r="AC515" s="3" t="s">
        <v>1</v>
      </c>
      <c r="AD515" s="693" t="s">
        <v>2</v>
      </c>
      <c r="AE515" s="694"/>
      <c r="AF515" s="694"/>
      <c r="AG515" s="695"/>
      <c r="AH515" s="3" t="s">
        <v>3</v>
      </c>
      <c r="AJ515" s="3" t="s">
        <v>1</v>
      </c>
      <c r="AK515" s="693" t="s">
        <v>2</v>
      </c>
      <c r="AL515" s="694"/>
      <c r="AM515" s="694"/>
      <c r="AN515" s="695"/>
      <c r="AO515" s="3" t="s">
        <v>3</v>
      </c>
    </row>
    <row r="516" spans="1:256" ht="80.25" customHeight="1" thickBot="1">
      <c r="A516" s="5" t="s">
        <v>1033</v>
      </c>
      <c r="B516" s="743" t="s">
        <v>1152</v>
      </c>
      <c r="C516" s="744"/>
      <c r="D516" s="744"/>
      <c r="E516" s="745"/>
      <c r="F516" s="5" t="s">
        <v>1032</v>
      </c>
      <c r="H516" s="5" t="s">
        <v>1062</v>
      </c>
      <c r="I516" s="743" t="s">
        <v>1153</v>
      </c>
      <c r="J516" s="744"/>
      <c r="K516" s="744"/>
      <c r="L516" s="745"/>
      <c r="M516" s="5" t="s">
        <v>1032</v>
      </c>
      <c r="O516" s="5" t="s">
        <v>1154</v>
      </c>
      <c r="P516" s="743" t="s">
        <v>1155</v>
      </c>
      <c r="Q516" s="744"/>
      <c r="R516" s="744"/>
      <c r="S516" s="745"/>
      <c r="T516" s="5" t="s">
        <v>1032</v>
      </c>
      <c r="V516" s="5" t="s">
        <v>1156</v>
      </c>
      <c r="W516" s="743" t="s">
        <v>1157</v>
      </c>
      <c r="X516" s="744"/>
      <c r="Y516" s="744"/>
      <c r="Z516" s="745"/>
      <c r="AA516" s="5" t="s">
        <v>1032</v>
      </c>
      <c r="AC516" s="5" t="s">
        <v>1158</v>
      </c>
      <c r="AD516" s="743" t="s">
        <v>1159</v>
      </c>
      <c r="AE516" s="744"/>
      <c r="AF516" s="744"/>
      <c r="AG516" s="745"/>
      <c r="AH516" s="5" t="s">
        <v>1032</v>
      </c>
      <c r="AJ516" s="5" t="s">
        <v>1232</v>
      </c>
      <c r="AK516" s="743" t="s">
        <v>955</v>
      </c>
      <c r="AL516" s="744"/>
      <c r="AM516" s="744"/>
      <c r="AN516" s="745"/>
      <c r="AO516" s="5" t="s">
        <v>1032</v>
      </c>
    </row>
    <row r="517" spans="1:256" ht="15" customHeight="1" thickBot="1">
      <c r="A517" s="705" t="s">
        <v>8</v>
      </c>
      <c r="B517" s="706"/>
      <c r="C517" s="706"/>
      <c r="D517" s="706"/>
      <c r="E517" s="706"/>
      <c r="F517" s="707"/>
      <c r="H517" s="705" t="s">
        <v>8</v>
      </c>
      <c r="I517" s="706"/>
      <c r="J517" s="706"/>
      <c r="K517" s="706"/>
      <c r="L517" s="706"/>
      <c r="M517" s="707"/>
      <c r="O517" s="705" t="s">
        <v>8</v>
      </c>
      <c r="P517" s="706"/>
      <c r="Q517" s="706"/>
      <c r="R517" s="706"/>
      <c r="S517" s="706"/>
      <c r="T517" s="707"/>
      <c r="V517" s="705" t="s">
        <v>8</v>
      </c>
      <c r="W517" s="706"/>
      <c r="X517" s="706"/>
      <c r="Y517" s="706"/>
      <c r="Z517" s="706"/>
      <c r="AA517" s="707"/>
      <c r="AC517" s="705" t="s">
        <v>8</v>
      </c>
      <c r="AD517" s="706"/>
      <c r="AE517" s="706"/>
      <c r="AF517" s="706"/>
      <c r="AG517" s="706"/>
      <c r="AH517" s="707"/>
      <c r="AJ517" s="705" t="s">
        <v>8</v>
      </c>
      <c r="AK517" s="706"/>
      <c r="AL517" s="706"/>
      <c r="AM517" s="706"/>
      <c r="AN517" s="706"/>
      <c r="AO517" s="707"/>
    </row>
    <row r="518" spans="1:256" ht="15" customHeight="1" thickBot="1">
      <c r="A518" s="8" t="s">
        <v>1</v>
      </c>
      <c r="B518" s="5" t="s">
        <v>2</v>
      </c>
      <c r="C518" s="8" t="s">
        <v>3</v>
      </c>
      <c r="D518" s="8" t="s">
        <v>9</v>
      </c>
      <c r="E518" s="8" t="s">
        <v>10</v>
      </c>
      <c r="F518" s="8" t="s">
        <v>11</v>
      </c>
      <c r="H518" s="8" t="s">
        <v>1</v>
      </c>
      <c r="I518" s="5" t="s">
        <v>2</v>
      </c>
      <c r="J518" s="8" t="s">
        <v>3</v>
      </c>
      <c r="K518" s="8" t="s">
        <v>9</v>
      </c>
      <c r="L518" s="8" t="s">
        <v>10</v>
      </c>
      <c r="M518" s="8" t="s">
        <v>11</v>
      </c>
      <c r="O518" s="8" t="s">
        <v>1</v>
      </c>
      <c r="P518" s="5" t="s">
        <v>2</v>
      </c>
      <c r="Q518" s="8" t="s">
        <v>3</v>
      </c>
      <c r="R518" s="8" t="s">
        <v>9</v>
      </c>
      <c r="S518" s="8" t="s">
        <v>10</v>
      </c>
      <c r="T518" s="8" t="s">
        <v>11</v>
      </c>
      <c r="V518" s="8" t="s">
        <v>1</v>
      </c>
      <c r="W518" s="5" t="s">
        <v>2</v>
      </c>
      <c r="X518" s="8" t="s">
        <v>3</v>
      </c>
      <c r="Y518" s="8" t="s">
        <v>9</v>
      </c>
      <c r="Z518" s="8" t="s">
        <v>10</v>
      </c>
      <c r="AA518" s="8" t="s">
        <v>11</v>
      </c>
      <c r="AC518" s="8" t="s">
        <v>1</v>
      </c>
      <c r="AD518" s="5" t="s">
        <v>2</v>
      </c>
      <c r="AE518" s="8" t="s">
        <v>3</v>
      </c>
      <c r="AF518" s="8" t="s">
        <v>9</v>
      </c>
      <c r="AG518" s="8" t="s">
        <v>10</v>
      </c>
      <c r="AH518" s="8" t="s">
        <v>11</v>
      </c>
      <c r="AJ518" s="8" t="s">
        <v>1</v>
      </c>
      <c r="AK518" s="5" t="s">
        <v>2</v>
      </c>
      <c r="AL518" s="8" t="s">
        <v>3</v>
      </c>
      <c r="AM518" s="8" t="s">
        <v>9</v>
      </c>
      <c r="AN518" s="8" t="s">
        <v>10</v>
      </c>
      <c r="AO518" s="8" t="s">
        <v>11</v>
      </c>
    </row>
    <row r="519" spans="1:256" ht="15" customHeight="1">
      <c r="A519" s="463" t="s">
        <v>1050</v>
      </c>
      <c r="B519" s="459" t="s">
        <v>1034</v>
      </c>
      <c r="C519" s="9" t="s">
        <v>833</v>
      </c>
      <c r="D519" s="533">
        <f>((0.12+0.23+0.05+0.6+0.13)*2)*1.05</f>
        <v>2.3729999999999998</v>
      </c>
      <c r="E519" s="12">
        <f>MATERIALES!E199</f>
        <v>381</v>
      </c>
      <c r="F519" s="20">
        <f t="shared" ref="F519:F520" si="7">D519*E519</f>
        <v>904.11299999999994</v>
      </c>
      <c r="H519" s="463" t="s">
        <v>1050</v>
      </c>
      <c r="I519" s="459" t="s">
        <v>1034</v>
      </c>
      <c r="J519" s="9" t="s">
        <v>833</v>
      </c>
      <c r="K519" s="533">
        <f>(1.15+0.15+0.3+0.15)*1.05</f>
        <v>1.8374999999999999</v>
      </c>
      <c r="L519" s="12">
        <f>MATERIALES!E199</f>
        <v>381</v>
      </c>
      <c r="M519" s="20">
        <f t="shared" ref="M519:M520" si="8">K519*L519</f>
        <v>700.08749999999998</v>
      </c>
      <c r="O519" s="463" t="s">
        <v>1050</v>
      </c>
      <c r="P519" s="459" t="s">
        <v>1034</v>
      </c>
      <c r="Q519" s="9" t="s">
        <v>833</v>
      </c>
      <c r="R519" s="533">
        <f>((0.86+3.46+0.82+0.11+0.6+0.11)*2)*1.05</f>
        <v>12.516000000000002</v>
      </c>
      <c r="S519" s="12">
        <f>MATERIALES!E199</f>
        <v>381</v>
      </c>
      <c r="T519" s="20">
        <f t="shared" ref="T519:T520" si="9">R519*S519</f>
        <v>4768.5960000000005</v>
      </c>
      <c r="V519" s="463" t="s">
        <v>1050</v>
      </c>
      <c r="W519" s="459" t="s">
        <v>1034</v>
      </c>
      <c r="X519" s="9" t="s">
        <v>833</v>
      </c>
      <c r="Y519" s="533">
        <f>(1.3+0.06+1+0.12)*1.05</f>
        <v>2.6040000000000005</v>
      </c>
      <c r="Z519" s="12">
        <f>MATERIALES!E199</f>
        <v>381</v>
      </c>
      <c r="AA519" s="20">
        <f t="shared" ref="AA519:AA520" si="10">Y519*Z519</f>
        <v>992.12400000000025</v>
      </c>
      <c r="AC519" s="463" t="s">
        <v>1050</v>
      </c>
      <c r="AD519" s="459" t="s">
        <v>1034</v>
      </c>
      <c r="AE519" s="9" t="s">
        <v>833</v>
      </c>
      <c r="AF519" s="533">
        <f>((1.08+0.06+1+0.12)*2)*1.05</f>
        <v>4.7460000000000004</v>
      </c>
      <c r="AG519" s="12">
        <f>MATERIALES!E199</f>
        <v>381</v>
      </c>
      <c r="AH519" s="20">
        <f t="shared" ref="AH519:AH520" si="11">AF519*AG519</f>
        <v>1808.2260000000001</v>
      </c>
      <c r="AJ519" s="463" t="s">
        <v>1050</v>
      </c>
      <c r="AK519" s="459" t="s">
        <v>1034</v>
      </c>
      <c r="AL519" s="9" t="s">
        <v>833</v>
      </c>
      <c r="AM519" s="533">
        <f>(0.13+0.38+0.9+0.9+0.13+0.098+0.49+1.91)*1.05</f>
        <v>5.1848999999999998</v>
      </c>
      <c r="AN519" s="12">
        <f>MATERIALES!E199</f>
        <v>381</v>
      </c>
      <c r="AO519" s="20">
        <f t="shared" ref="AO519:AO520" si="12">AM519*AN519</f>
        <v>1975.4468999999999</v>
      </c>
    </row>
    <row r="520" spans="1:256" ht="15" customHeight="1">
      <c r="A520" s="466" t="s">
        <v>1051</v>
      </c>
      <c r="B520" s="460" t="s">
        <v>1149</v>
      </c>
      <c r="C520" s="16" t="s">
        <v>64</v>
      </c>
      <c r="D520" s="18">
        <f>4*1.05</f>
        <v>4.2</v>
      </c>
      <c r="E520" s="20">
        <f>MATERIALES!E200</f>
        <v>18.36</v>
      </c>
      <c r="F520" s="20">
        <f t="shared" si="7"/>
        <v>77.111999999999995</v>
      </c>
      <c r="H520" s="466" t="s">
        <v>1051</v>
      </c>
      <c r="I520" s="460" t="s">
        <v>1149</v>
      </c>
      <c r="J520" s="16" t="s">
        <v>64</v>
      </c>
      <c r="K520" s="18">
        <f>2*1.05</f>
        <v>2.1</v>
      </c>
      <c r="L520" s="20">
        <f>MATERIALES!E200</f>
        <v>18.36</v>
      </c>
      <c r="M520" s="20">
        <f t="shared" si="8"/>
        <v>38.555999999999997</v>
      </c>
      <c r="O520" s="466" t="s">
        <v>1051</v>
      </c>
      <c r="P520" s="460" t="s">
        <v>1149</v>
      </c>
      <c r="Q520" s="16" t="s">
        <v>64</v>
      </c>
      <c r="R520" s="18">
        <f>10*1.05</f>
        <v>10.5</v>
      </c>
      <c r="S520" s="20">
        <f>MATERIALES!E200</f>
        <v>18.36</v>
      </c>
      <c r="T520" s="20">
        <f t="shared" si="9"/>
        <v>192.78</v>
      </c>
      <c r="V520" s="466" t="s">
        <v>1051</v>
      </c>
      <c r="W520" s="460" t="s">
        <v>1149</v>
      </c>
      <c r="X520" s="16" t="s">
        <v>64</v>
      </c>
      <c r="Y520" s="18">
        <f>3*1.05</f>
        <v>3.1500000000000004</v>
      </c>
      <c r="Z520" s="20">
        <f>MATERIALES!E200</f>
        <v>18.36</v>
      </c>
      <c r="AA520" s="20">
        <f t="shared" si="10"/>
        <v>57.834000000000003</v>
      </c>
      <c r="AC520" s="466" t="s">
        <v>1051</v>
      </c>
      <c r="AD520" s="460" t="s">
        <v>1149</v>
      </c>
      <c r="AE520" s="16" t="s">
        <v>64</v>
      </c>
      <c r="AF520" s="18">
        <f>7*1.05</f>
        <v>7.3500000000000005</v>
      </c>
      <c r="AG520" s="20">
        <f>MATERIALES!E200</f>
        <v>18.36</v>
      </c>
      <c r="AH520" s="20">
        <f t="shared" si="11"/>
        <v>134.946</v>
      </c>
      <c r="AJ520" s="466" t="s">
        <v>1051</v>
      </c>
      <c r="AK520" s="460" t="s">
        <v>1149</v>
      </c>
      <c r="AL520" s="16" t="s">
        <v>64</v>
      </c>
      <c r="AM520" s="18">
        <f>7*1.05</f>
        <v>7.3500000000000005</v>
      </c>
      <c r="AN520" s="20">
        <f>MATERIALES!E200</f>
        <v>18.36</v>
      </c>
      <c r="AO520" s="20">
        <f t="shared" si="12"/>
        <v>134.946</v>
      </c>
    </row>
    <row r="521" spans="1:256" ht="15" customHeight="1">
      <c r="A521" s="466" t="s">
        <v>348</v>
      </c>
      <c r="B521" s="460" t="s">
        <v>1036</v>
      </c>
      <c r="C521" s="16" t="s">
        <v>64</v>
      </c>
      <c r="D521" s="18">
        <f>(1/100)</f>
        <v>0.01</v>
      </c>
      <c r="E521" s="20">
        <f>MATERIALES!E24</f>
        <v>89</v>
      </c>
      <c r="F521" s="20">
        <f>D521*E521</f>
        <v>0.89</v>
      </c>
      <c r="H521" s="466" t="s">
        <v>348</v>
      </c>
      <c r="I521" s="460" t="s">
        <v>1036</v>
      </c>
      <c r="J521" s="16" t="s">
        <v>64</v>
      </c>
      <c r="K521" s="18">
        <f>(1/100)</f>
        <v>0.01</v>
      </c>
      <c r="L521" s="20">
        <f>MATERIALES!E24</f>
        <v>89</v>
      </c>
      <c r="M521" s="20">
        <f>K521*L521</f>
        <v>0.89</v>
      </c>
      <c r="O521" s="466" t="s">
        <v>348</v>
      </c>
      <c r="P521" s="460" t="s">
        <v>1036</v>
      </c>
      <c r="Q521" s="16" t="s">
        <v>64</v>
      </c>
      <c r="R521" s="18">
        <f>(1/100)</f>
        <v>0.01</v>
      </c>
      <c r="S521" s="20">
        <f>MATERIALES!E24</f>
        <v>89</v>
      </c>
      <c r="T521" s="20">
        <f>R521*S521</f>
        <v>0.89</v>
      </c>
      <c r="V521" s="466" t="s">
        <v>348</v>
      </c>
      <c r="W521" s="460" t="s">
        <v>1036</v>
      </c>
      <c r="X521" s="16" t="s">
        <v>64</v>
      </c>
      <c r="Y521" s="18">
        <f>(1/100)</f>
        <v>0.01</v>
      </c>
      <c r="Z521" s="20">
        <f>MATERIALES!E24</f>
        <v>89</v>
      </c>
      <c r="AA521" s="20">
        <f>Y521*Z521</f>
        <v>0.89</v>
      </c>
      <c r="AC521" s="466" t="s">
        <v>348</v>
      </c>
      <c r="AD521" s="460" t="s">
        <v>1036</v>
      </c>
      <c r="AE521" s="16" t="s">
        <v>64</v>
      </c>
      <c r="AF521" s="18">
        <f>(1/100)</f>
        <v>0.01</v>
      </c>
      <c r="AG521" s="20">
        <f>MATERIALES!E24</f>
        <v>89</v>
      </c>
      <c r="AH521" s="20">
        <f>AF521*AG521</f>
        <v>0.89</v>
      </c>
      <c r="AJ521" s="466" t="s">
        <v>348</v>
      </c>
      <c r="AK521" s="460" t="s">
        <v>1036</v>
      </c>
      <c r="AL521" s="16" t="s">
        <v>64</v>
      </c>
      <c r="AM521" s="18">
        <f>(1/100)</f>
        <v>0.01</v>
      </c>
      <c r="AN521" s="20">
        <f>MATERIALES!E24</f>
        <v>89</v>
      </c>
      <c r="AO521" s="20">
        <f>AM521*AN521</f>
        <v>0.89</v>
      </c>
    </row>
    <row r="522" spans="1:256" ht="15" customHeight="1">
      <c r="A522" s="462" t="s">
        <v>1045</v>
      </c>
      <c r="B522" s="461" t="s">
        <v>1040</v>
      </c>
      <c r="C522" s="21" t="s">
        <v>1037</v>
      </c>
      <c r="D522" s="21">
        <f>(2/100)*1.05</f>
        <v>2.1000000000000001E-2</v>
      </c>
      <c r="E522" s="20">
        <f>MATERIALES!E47</f>
        <v>21.12</v>
      </c>
      <c r="F522" s="20">
        <f t="shared" ref="F522:F526" si="13">D522*E522</f>
        <v>0.44352000000000003</v>
      </c>
      <c r="H522" s="462" t="s">
        <v>1045</v>
      </c>
      <c r="I522" s="461" t="s">
        <v>1040</v>
      </c>
      <c r="J522" s="21" t="s">
        <v>1037</v>
      </c>
      <c r="K522" s="21">
        <f>(0.75/100)*1.05</f>
        <v>7.8750000000000001E-3</v>
      </c>
      <c r="L522" s="20">
        <f>MATERIALES!E47</f>
        <v>21.12</v>
      </c>
      <c r="M522" s="20">
        <f t="shared" ref="M522:M526" si="14">K522*L522</f>
        <v>0.16632</v>
      </c>
      <c r="O522" s="462" t="s">
        <v>1045</v>
      </c>
      <c r="P522" s="461" t="s">
        <v>1040</v>
      </c>
      <c r="Q522" s="21" t="s">
        <v>1037</v>
      </c>
      <c r="R522" s="21">
        <f>(2.75/100)*1.05</f>
        <v>2.8875000000000001E-2</v>
      </c>
      <c r="S522" s="20">
        <f>MATERIALES!E47</f>
        <v>21.12</v>
      </c>
      <c r="T522" s="20">
        <f t="shared" ref="T522:T526" si="15">R522*S522</f>
        <v>0.60984000000000005</v>
      </c>
      <c r="V522" s="462" t="s">
        <v>1045</v>
      </c>
      <c r="W522" s="461" t="s">
        <v>1040</v>
      </c>
      <c r="X522" s="21" t="s">
        <v>1037</v>
      </c>
      <c r="Y522" s="21">
        <f>(0.75/100)*1.05</f>
        <v>7.8750000000000001E-3</v>
      </c>
      <c r="Z522" s="20">
        <f>MATERIALES!E47</f>
        <v>21.12</v>
      </c>
      <c r="AA522" s="20">
        <f t="shared" ref="AA522:AA526" si="16">Y522*Z522</f>
        <v>0.16632</v>
      </c>
      <c r="AC522" s="462" t="s">
        <v>1045</v>
      </c>
      <c r="AD522" s="461" t="s">
        <v>1040</v>
      </c>
      <c r="AE522" s="21" t="s">
        <v>1037</v>
      </c>
      <c r="AF522" s="21">
        <f>(7/100)*1.05</f>
        <v>7.350000000000001E-2</v>
      </c>
      <c r="AG522" s="20">
        <f>MATERIALES!E47</f>
        <v>21.12</v>
      </c>
      <c r="AH522" s="20">
        <f t="shared" ref="AH522:AH526" si="17">AF522*AG522</f>
        <v>1.5523200000000004</v>
      </c>
      <c r="AJ522" s="462" t="s">
        <v>1045</v>
      </c>
      <c r="AK522" s="461" t="s">
        <v>1040</v>
      </c>
      <c r="AL522" s="21" t="s">
        <v>1037</v>
      </c>
      <c r="AM522" s="21">
        <f>(7/100)*1.05</f>
        <v>7.350000000000001E-2</v>
      </c>
      <c r="AN522" s="20">
        <f>MATERIALES!E47</f>
        <v>21.12</v>
      </c>
      <c r="AO522" s="20">
        <f t="shared" ref="AO522:AO526" si="18">AM522*AN522</f>
        <v>1.5523200000000004</v>
      </c>
    </row>
    <row r="523" spans="1:256" ht="15" customHeight="1">
      <c r="A523" s="462" t="s">
        <v>317</v>
      </c>
      <c r="B523" s="461" t="s">
        <v>1038</v>
      </c>
      <c r="C523" s="462" t="s">
        <v>64</v>
      </c>
      <c r="D523" s="30">
        <f>(16/454)*1.05</f>
        <v>3.700440528634362E-2</v>
      </c>
      <c r="E523" s="20">
        <f>MATERIALES!E201</f>
        <v>240.52</v>
      </c>
      <c r="F523" s="20">
        <f t="shared" si="13"/>
        <v>8.9002995594713674</v>
      </c>
      <c r="H523" s="462" t="s">
        <v>317</v>
      </c>
      <c r="I523" s="461" t="s">
        <v>1038</v>
      </c>
      <c r="J523" s="462" t="s">
        <v>64</v>
      </c>
      <c r="K523" s="30">
        <f>(6/454)*1.05</f>
        <v>1.3876651982378856E-2</v>
      </c>
      <c r="L523" s="20">
        <f>MATERIALES!E201</f>
        <v>240.52</v>
      </c>
      <c r="M523" s="20">
        <f t="shared" si="14"/>
        <v>3.3376123348017623</v>
      </c>
      <c r="O523" s="462" t="s">
        <v>317</v>
      </c>
      <c r="P523" s="461" t="s">
        <v>1038</v>
      </c>
      <c r="Q523" s="462" t="s">
        <v>64</v>
      </c>
      <c r="R523" s="30">
        <f>(22/454)*1.05</f>
        <v>5.0881057268722468E-2</v>
      </c>
      <c r="S523" s="20">
        <f>MATERIALES!E201</f>
        <v>240.52</v>
      </c>
      <c r="T523" s="20">
        <f t="shared" si="15"/>
        <v>12.237911894273129</v>
      </c>
      <c r="V523" s="462" t="s">
        <v>317</v>
      </c>
      <c r="W523" s="461" t="s">
        <v>1038</v>
      </c>
      <c r="X523" s="462" t="s">
        <v>64</v>
      </c>
      <c r="Y523" s="30">
        <f>(6/454)*1.05</f>
        <v>1.3876651982378856E-2</v>
      </c>
      <c r="Z523" s="20">
        <f>MATERIALES!E201</f>
        <v>240.52</v>
      </c>
      <c r="AA523" s="20">
        <f t="shared" si="16"/>
        <v>3.3376123348017623</v>
      </c>
      <c r="AC523" s="462" t="s">
        <v>317</v>
      </c>
      <c r="AD523" s="461" t="s">
        <v>1038</v>
      </c>
      <c r="AE523" s="462" t="s">
        <v>64</v>
      </c>
      <c r="AF523" s="30">
        <f>(16/454)*1.05</f>
        <v>3.700440528634362E-2</v>
      </c>
      <c r="AG523" s="20">
        <f>MATERIALES!E201</f>
        <v>240.52</v>
      </c>
      <c r="AH523" s="20">
        <f t="shared" si="17"/>
        <v>8.9002995594713674</v>
      </c>
      <c r="AJ523" s="462" t="s">
        <v>317</v>
      </c>
      <c r="AK523" s="461" t="s">
        <v>1038</v>
      </c>
      <c r="AL523" s="462" t="s">
        <v>64</v>
      </c>
      <c r="AM523" s="30">
        <f>(14/454)*1.05</f>
        <v>3.2378854625550665E-2</v>
      </c>
      <c r="AN523" s="20">
        <f>MATERIALES!E201</f>
        <v>240.52</v>
      </c>
      <c r="AO523" s="20">
        <f t="shared" si="18"/>
        <v>7.787762114537446</v>
      </c>
    </row>
    <row r="524" spans="1:256" ht="15" customHeight="1">
      <c r="A524" s="462" t="s">
        <v>597</v>
      </c>
      <c r="B524" s="461" t="s">
        <v>1039</v>
      </c>
      <c r="C524" s="462" t="s">
        <v>64</v>
      </c>
      <c r="D524" s="21">
        <f>(1/100)*1.05</f>
        <v>1.0500000000000001E-2</v>
      </c>
      <c r="E524" s="20">
        <f>MATERIALES!E122</f>
        <v>9.91</v>
      </c>
      <c r="F524" s="20">
        <f t="shared" si="13"/>
        <v>0.10405500000000001</v>
      </c>
      <c r="H524" s="462" t="s">
        <v>597</v>
      </c>
      <c r="I524" s="461" t="s">
        <v>1039</v>
      </c>
      <c r="J524" s="462" t="s">
        <v>64</v>
      </c>
      <c r="K524" s="21">
        <f>(1/100)*1.05</f>
        <v>1.0500000000000001E-2</v>
      </c>
      <c r="L524" s="20">
        <f>MATERIALES!E122</f>
        <v>9.91</v>
      </c>
      <c r="M524" s="20">
        <f t="shared" si="14"/>
        <v>0.10405500000000001</v>
      </c>
      <c r="O524" s="462" t="s">
        <v>597</v>
      </c>
      <c r="P524" s="461" t="s">
        <v>1039</v>
      </c>
      <c r="Q524" s="462" t="s">
        <v>64</v>
      </c>
      <c r="R524" s="21">
        <f>(1/100)*1.05</f>
        <v>1.0500000000000001E-2</v>
      </c>
      <c r="S524" s="20">
        <f>MATERIALES!E122</f>
        <v>9.91</v>
      </c>
      <c r="T524" s="20">
        <f t="shared" si="15"/>
        <v>0.10405500000000001</v>
      </c>
      <c r="V524" s="462" t="s">
        <v>597</v>
      </c>
      <c r="W524" s="461" t="s">
        <v>1039</v>
      </c>
      <c r="X524" s="462" t="s">
        <v>64</v>
      </c>
      <c r="Y524" s="21">
        <f>(1/100)*1.05</f>
        <v>1.0500000000000001E-2</v>
      </c>
      <c r="Z524" s="20">
        <f>MATERIALES!E122</f>
        <v>9.91</v>
      </c>
      <c r="AA524" s="20">
        <f t="shared" si="16"/>
        <v>0.10405500000000001</v>
      </c>
      <c r="AC524" s="462" t="s">
        <v>597</v>
      </c>
      <c r="AD524" s="461" t="s">
        <v>1039</v>
      </c>
      <c r="AE524" s="462" t="s">
        <v>64</v>
      </c>
      <c r="AF524" s="21">
        <f>(1/100)*1.05</f>
        <v>1.0500000000000001E-2</v>
      </c>
      <c r="AG524" s="20">
        <f>MATERIALES!E122</f>
        <v>9.91</v>
      </c>
      <c r="AH524" s="20">
        <f t="shared" si="17"/>
        <v>0.10405500000000001</v>
      </c>
      <c r="AJ524" s="462" t="s">
        <v>597</v>
      </c>
      <c r="AK524" s="461" t="s">
        <v>1039</v>
      </c>
      <c r="AL524" s="462" t="s">
        <v>64</v>
      </c>
      <c r="AM524" s="21">
        <f>(1/100)*1.05</f>
        <v>1.0500000000000001E-2</v>
      </c>
      <c r="AN524" s="20">
        <f>MATERIALES!E122</f>
        <v>9.91</v>
      </c>
      <c r="AO524" s="20">
        <f t="shared" si="18"/>
        <v>0.10405500000000001</v>
      </c>
    </row>
    <row r="525" spans="1:256" ht="15" customHeight="1">
      <c r="A525" s="482" t="s">
        <v>328</v>
      </c>
      <c r="B525" s="483" t="s">
        <v>1041</v>
      </c>
      <c r="C525" s="482" t="s">
        <v>39</v>
      </c>
      <c r="D525" s="484">
        <f>(100/1000)*1.05</f>
        <v>0.10500000000000001</v>
      </c>
      <c r="E525" s="485">
        <f>MATERIALES!E16</f>
        <v>47.41</v>
      </c>
      <c r="F525" s="20">
        <f t="shared" si="13"/>
        <v>4.9780500000000005</v>
      </c>
      <c r="H525" s="482" t="s">
        <v>328</v>
      </c>
      <c r="I525" s="483" t="s">
        <v>1041</v>
      </c>
      <c r="J525" s="482" t="s">
        <v>39</v>
      </c>
      <c r="K525" s="484">
        <f>(100/1000)*1.05</f>
        <v>0.10500000000000001</v>
      </c>
      <c r="L525" s="485">
        <f>MATERIALES!E16</f>
        <v>47.41</v>
      </c>
      <c r="M525" s="20">
        <f t="shared" si="14"/>
        <v>4.9780500000000005</v>
      </c>
      <c r="O525" s="482" t="s">
        <v>328</v>
      </c>
      <c r="P525" s="483" t="s">
        <v>1041</v>
      </c>
      <c r="Q525" s="482" t="s">
        <v>39</v>
      </c>
      <c r="R525" s="484">
        <f>(100/1000)*1.05</f>
        <v>0.10500000000000001</v>
      </c>
      <c r="S525" s="485">
        <f>MATERIALES!E16</f>
        <v>47.41</v>
      </c>
      <c r="T525" s="20">
        <f t="shared" si="15"/>
        <v>4.9780500000000005</v>
      </c>
      <c r="V525" s="482" t="s">
        <v>328</v>
      </c>
      <c r="W525" s="483" t="s">
        <v>1041</v>
      </c>
      <c r="X525" s="482" t="s">
        <v>39</v>
      </c>
      <c r="Y525" s="484">
        <f>(100/1000)*1.05</f>
        <v>0.10500000000000001</v>
      </c>
      <c r="Z525" s="485">
        <f>MATERIALES!E16</f>
        <v>47.41</v>
      </c>
      <c r="AA525" s="20">
        <f t="shared" si="16"/>
        <v>4.9780500000000005</v>
      </c>
      <c r="AC525" s="482" t="s">
        <v>328</v>
      </c>
      <c r="AD525" s="483" t="s">
        <v>1041</v>
      </c>
      <c r="AE525" s="482" t="s">
        <v>39</v>
      </c>
      <c r="AF525" s="484">
        <f>(100/1000)*1.05</f>
        <v>0.10500000000000001</v>
      </c>
      <c r="AG525" s="485">
        <f>MATERIALES!E16</f>
        <v>47.41</v>
      </c>
      <c r="AH525" s="20">
        <f t="shared" si="17"/>
        <v>4.9780500000000005</v>
      </c>
      <c r="AJ525" s="482" t="s">
        <v>328</v>
      </c>
      <c r="AK525" s="483" t="s">
        <v>1041</v>
      </c>
      <c r="AL525" s="482" t="s">
        <v>39</v>
      </c>
      <c r="AM525" s="484">
        <f>(100/1000)*1.05</f>
        <v>0.10500000000000001</v>
      </c>
      <c r="AN525" s="485">
        <f>MATERIALES!E16</f>
        <v>47.41</v>
      </c>
      <c r="AO525" s="20">
        <f t="shared" si="18"/>
        <v>4.9780500000000005</v>
      </c>
    </row>
    <row r="526" spans="1:256" ht="15" customHeight="1">
      <c r="A526" s="488" t="s">
        <v>1092</v>
      </c>
      <c r="B526" s="483" t="s">
        <v>1042</v>
      </c>
      <c r="C526" s="482" t="s">
        <v>1043</v>
      </c>
      <c r="D526" s="484">
        <f>((8*1)/100)*1.05</f>
        <v>8.4000000000000005E-2</v>
      </c>
      <c r="E526" s="485">
        <f>MATERIALES!E206</f>
        <v>58</v>
      </c>
      <c r="F526" s="20">
        <f t="shared" si="13"/>
        <v>4.8719999999999999</v>
      </c>
      <c r="H526" s="488" t="s">
        <v>1092</v>
      </c>
      <c r="I526" s="483" t="s">
        <v>1042</v>
      </c>
      <c r="J526" s="482" t="s">
        <v>1043</v>
      </c>
      <c r="K526" s="484">
        <f>((3*1)/100)*1.05</f>
        <v>3.15E-2</v>
      </c>
      <c r="L526" s="485">
        <f>MATERIALES!E206</f>
        <v>58</v>
      </c>
      <c r="M526" s="20">
        <f t="shared" si="14"/>
        <v>1.827</v>
      </c>
      <c r="O526" s="488" t="s">
        <v>1092</v>
      </c>
      <c r="P526" s="483" t="s">
        <v>1042</v>
      </c>
      <c r="Q526" s="482" t="s">
        <v>1043</v>
      </c>
      <c r="R526" s="484">
        <f>((11*1)/100)*1.05</f>
        <v>0.11550000000000001</v>
      </c>
      <c r="S526" s="485">
        <f>MATERIALES!E206</f>
        <v>58</v>
      </c>
      <c r="T526" s="20">
        <f t="shared" si="15"/>
        <v>6.6990000000000007</v>
      </c>
      <c r="V526" s="488" t="s">
        <v>1092</v>
      </c>
      <c r="W526" s="483" t="s">
        <v>1042</v>
      </c>
      <c r="X526" s="482" t="s">
        <v>1043</v>
      </c>
      <c r="Y526" s="484">
        <f>((3*1)/100)*1.05</f>
        <v>3.15E-2</v>
      </c>
      <c r="Z526" s="485">
        <f>MATERIALES!E206</f>
        <v>58</v>
      </c>
      <c r="AA526" s="20">
        <f t="shared" si="16"/>
        <v>1.827</v>
      </c>
      <c r="AC526" s="488" t="s">
        <v>1092</v>
      </c>
      <c r="AD526" s="483" t="s">
        <v>1042</v>
      </c>
      <c r="AE526" s="482" t="s">
        <v>1043</v>
      </c>
      <c r="AF526" s="484">
        <f>((7*1)/100)*1.05</f>
        <v>7.350000000000001E-2</v>
      </c>
      <c r="AG526" s="485">
        <f>MATERIALES!E206</f>
        <v>58</v>
      </c>
      <c r="AH526" s="20">
        <f t="shared" si="17"/>
        <v>4.2630000000000008</v>
      </c>
      <c r="AJ526" s="488" t="s">
        <v>1092</v>
      </c>
      <c r="AK526" s="483" t="s">
        <v>1042</v>
      </c>
      <c r="AL526" s="482" t="s">
        <v>1043</v>
      </c>
      <c r="AM526" s="484">
        <f>((7*1)/100)*1.05</f>
        <v>7.350000000000001E-2</v>
      </c>
      <c r="AN526" s="485">
        <f>MATERIALES!E206</f>
        <v>58</v>
      </c>
      <c r="AO526" s="20">
        <f t="shared" si="18"/>
        <v>4.2630000000000008</v>
      </c>
    </row>
    <row r="527" spans="1:256" ht="15" customHeight="1">
      <c r="A527" s="534" t="s">
        <v>1147</v>
      </c>
      <c r="B527" s="483" t="s">
        <v>1148</v>
      </c>
      <c r="C527" s="482" t="s">
        <v>64</v>
      </c>
      <c r="D527" s="484">
        <f>2*1.05</f>
        <v>2.1</v>
      </c>
      <c r="E527" s="485">
        <f>MATERIALES!E208</f>
        <v>10.6</v>
      </c>
      <c r="F527" s="485">
        <f>D527*E527</f>
        <v>22.26</v>
      </c>
      <c r="G527" s="228"/>
      <c r="H527" s="488" t="s">
        <v>1309</v>
      </c>
      <c r="I527" s="537" t="s">
        <v>1150</v>
      </c>
      <c r="J527" s="482" t="s">
        <v>64</v>
      </c>
      <c r="K527" s="484">
        <f>1*1.05</f>
        <v>1.05</v>
      </c>
      <c r="L527" s="485">
        <f>MATERIALES!E202</f>
        <v>111.21</v>
      </c>
      <c r="M527" s="485">
        <f>L527*K527</f>
        <v>116.7705</v>
      </c>
      <c r="N527" s="228"/>
      <c r="O527" s="488" t="s">
        <v>1309</v>
      </c>
      <c r="P527" s="537" t="s">
        <v>1150</v>
      </c>
      <c r="Q527" s="482" t="s">
        <v>64</v>
      </c>
      <c r="R527" s="484">
        <f>1*1.05</f>
        <v>1.05</v>
      </c>
      <c r="S527" s="485">
        <f>MATERIALES!E202</f>
        <v>111.21</v>
      </c>
      <c r="T527" s="485">
        <f>S527*R527</f>
        <v>116.7705</v>
      </c>
      <c r="U527" s="228"/>
      <c r="V527" s="488" t="s">
        <v>1309</v>
      </c>
      <c r="W527" s="537" t="s">
        <v>1150</v>
      </c>
      <c r="X527" s="484" t="s">
        <v>742</v>
      </c>
      <c r="Y527" s="484">
        <f>1*1.05</f>
        <v>1.05</v>
      </c>
      <c r="Z527" s="485">
        <f>MATERIALES!E202</f>
        <v>111.21</v>
      </c>
      <c r="AA527" s="485">
        <f>Z527*Y527</f>
        <v>116.7705</v>
      </c>
      <c r="AB527" s="228"/>
      <c r="AC527" s="488" t="s">
        <v>1309</v>
      </c>
      <c r="AD527" s="537" t="s">
        <v>1150</v>
      </c>
      <c r="AE527" s="482" t="s">
        <v>64</v>
      </c>
      <c r="AF527" s="484">
        <f>1*1.05</f>
        <v>1.05</v>
      </c>
      <c r="AG527" s="485">
        <f>MATERIALES!E202</f>
        <v>111.21</v>
      </c>
      <c r="AH527" s="485">
        <f>AG527*AF527</f>
        <v>116.7705</v>
      </c>
      <c r="AI527" s="228"/>
      <c r="AJ527" s="488" t="s">
        <v>1309</v>
      </c>
      <c r="AK527" s="537" t="s">
        <v>1150</v>
      </c>
      <c r="AL527" s="482" t="s">
        <v>64</v>
      </c>
      <c r="AM527" s="484">
        <f>1*1.05</f>
        <v>1.05</v>
      </c>
      <c r="AN527" s="485">
        <f>MATERIALES!E202</f>
        <v>111.21</v>
      </c>
      <c r="AO527" s="485">
        <f>AN527*AM527</f>
        <v>116.7705</v>
      </c>
      <c r="AP527" s="228"/>
      <c r="AQ527" s="228"/>
      <c r="AR527" s="228"/>
      <c r="AS527" s="228"/>
      <c r="AT527" s="228"/>
      <c r="AU527" s="228"/>
      <c r="AV527" s="228"/>
      <c r="AW527" s="228"/>
      <c r="AX527" s="228"/>
      <c r="AY527" s="228"/>
      <c r="AZ527" s="228"/>
      <c r="BA527" s="228"/>
      <c r="BB527" s="228"/>
      <c r="BC527" s="228"/>
      <c r="BD527" s="228"/>
      <c r="BE527" s="228"/>
      <c r="BF527" s="228"/>
      <c r="BG527" s="228"/>
      <c r="BH527" s="228"/>
      <c r="BI527" s="228"/>
      <c r="BJ527" s="228"/>
      <c r="BK527" s="228"/>
      <c r="BL527" s="228"/>
      <c r="BM527" s="228"/>
      <c r="BN527" s="228"/>
      <c r="BO527" s="228"/>
      <c r="BP527" s="228"/>
      <c r="BQ527" s="228"/>
      <c r="BR527" s="228"/>
      <c r="BS527" s="228"/>
      <c r="BT527" s="228"/>
      <c r="BU527" s="228"/>
      <c r="BV527" s="228"/>
      <c r="BW527" s="228"/>
      <c r="BX527" s="228"/>
      <c r="BY527" s="228"/>
      <c r="BZ527" s="228"/>
      <c r="CA527" s="228"/>
      <c r="CB527" s="228"/>
      <c r="CC527" s="228"/>
      <c r="CD527" s="228"/>
      <c r="CE527" s="228"/>
      <c r="CF527" s="228"/>
      <c r="CG527" s="228"/>
      <c r="CH527" s="228"/>
      <c r="CI527" s="228"/>
      <c r="CJ527" s="228"/>
      <c r="CK527" s="228"/>
      <c r="CL527" s="228"/>
      <c r="CM527" s="228"/>
      <c r="CN527" s="228"/>
      <c r="CO527" s="228"/>
      <c r="CP527" s="228"/>
      <c r="CQ527" s="228"/>
      <c r="CR527" s="228"/>
      <c r="CS527" s="228"/>
      <c r="CT527" s="228"/>
      <c r="CU527" s="228"/>
      <c r="CV527" s="228"/>
      <c r="CW527" s="228"/>
      <c r="CX527" s="228"/>
      <c r="CY527" s="228"/>
      <c r="CZ527" s="228"/>
      <c r="DA527" s="228"/>
      <c r="DB527" s="228"/>
      <c r="DC527" s="228"/>
      <c r="DD527" s="228"/>
      <c r="DE527" s="228"/>
      <c r="DF527" s="228"/>
      <c r="DG527" s="228"/>
      <c r="DH527" s="228"/>
      <c r="DI527" s="228"/>
      <c r="DJ527" s="228"/>
      <c r="DK527" s="228"/>
      <c r="DL527" s="228"/>
      <c r="DM527" s="228"/>
      <c r="DN527" s="228"/>
      <c r="DO527" s="228"/>
      <c r="DP527" s="228"/>
      <c r="DQ527" s="228"/>
      <c r="DR527" s="228"/>
      <c r="DS527" s="228"/>
      <c r="DT527" s="228"/>
      <c r="DU527" s="228"/>
      <c r="DV527" s="228"/>
      <c r="DW527" s="228"/>
      <c r="DX527" s="228"/>
      <c r="DY527" s="228"/>
      <c r="DZ527" s="228"/>
      <c r="EA527" s="228"/>
      <c r="EB527" s="228"/>
      <c r="EC527" s="228"/>
      <c r="ED527" s="228"/>
      <c r="EE527" s="228"/>
      <c r="EF527" s="228"/>
      <c r="EG527" s="228"/>
      <c r="EH527" s="228"/>
      <c r="EI527" s="228"/>
      <c r="EJ527" s="228"/>
      <c r="EK527" s="228"/>
      <c r="EL527" s="228"/>
      <c r="EM527" s="228"/>
      <c r="EN527" s="228"/>
      <c r="EO527" s="228"/>
      <c r="EP527" s="228"/>
      <c r="EQ527" s="228"/>
      <c r="ER527" s="228"/>
      <c r="ES527" s="228"/>
      <c r="ET527" s="228"/>
      <c r="EU527" s="228"/>
      <c r="EV527" s="228"/>
      <c r="EW527" s="228"/>
      <c r="EX527" s="228"/>
      <c r="EY527" s="228"/>
      <c r="EZ527" s="228"/>
      <c r="FA527" s="228"/>
      <c r="FB527" s="228"/>
      <c r="FC527" s="228"/>
      <c r="FD527" s="228"/>
      <c r="FE527" s="228"/>
      <c r="FF527" s="228"/>
      <c r="FG527" s="228"/>
      <c r="FH527" s="228"/>
      <c r="FI527" s="228"/>
      <c r="FJ527" s="228"/>
      <c r="FK527" s="228"/>
      <c r="FL527" s="228"/>
      <c r="FM527" s="228"/>
      <c r="FN527" s="228"/>
      <c r="FO527" s="228"/>
      <c r="FP527" s="228"/>
      <c r="FQ527" s="228"/>
      <c r="FR527" s="228"/>
      <c r="FS527" s="228"/>
      <c r="FT527" s="228"/>
      <c r="FU527" s="228"/>
      <c r="FV527" s="228"/>
      <c r="FW527" s="228"/>
      <c r="FX527" s="228"/>
      <c r="FY527" s="228"/>
      <c r="FZ527" s="228"/>
      <c r="GA527" s="228"/>
      <c r="GB527" s="228"/>
      <c r="GC527" s="228"/>
      <c r="GD527" s="228"/>
      <c r="GE527" s="228"/>
      <c r="GF527" s="228"/>
      <c r="GG527" s="228"/>
      <c r="GH527" s="228"/>
      <c r="GI527" s="228"/>
      <c r="GJ527" s="228"/>
      <c r="GK527" s="228"/>
      <c r="GL527" s="228"/>
      <c r="GM527" s="228"/>
      <c r="GN527" s="228"/>
      <c r="GO527" s="228"/>
      <c r="GP527" s="228"/>
      <c r="GQ527" s="228"/>
      <c r="GR527" s="228"/>
      <c r="GS527" s="228"/>
      <c r="GT527" s="228"/>
      <c r="GU527" s="228"/>
      <c r="GV527" s="228"/>
      <c r="GW527" s="228"/>
      <c r="GX527" s="228"/>
      <c r="GY527" s="228"/>
      <c r="GZ527" s="228"/>
      <c r="HA527" s="228"/>
      <c r="HB527" s="228"/>
      <c r="HC527" s="228"/>
      <c r="HD527" s="228"/>
      <c r="HE527" s="228"/>
      <c r="HF527" s="228"/>
      <c r="HG527" s="228"/>
      <c r="HH527" s="228"/>
      <c r="HI527" s="228"/>
      <c r="HJ527" s="228"/>
      <c r="HK527" s="228"/>
      <c r="HL527" s="228"/>
      <c r="HM527" s="228"/>
      <c r="HN527" s="228"/>
      <c r="HO527" s="228"/>
      <c r="HP527" s="228"/>
      <c r="HQ527" s="228"/>
      <c r="HR527" s="228"/>
      <c r="HS527" s="228"/>
      <c r="HT527" s="228"/>
      <c r="HU527" s="228"/>
      <c r="HV527" s="228"/>
      <c r="HW527" s="228"/>
      <c r="HX527" s="228"/>
      <c r="HY527" s="228"/>
      <c r="HZ527" s="228"/>
      <c r="IA527" s="228"/>
      <c r="IB527" s="228"/>
      <c r="IC527" s="228"/>
      <c r="ID527" s="228"/>
      <c r="IE527" s="228"/>
      <c r="IF527" s="228"/>
      <c r="IG527" s="228"/>
      <c r="IH527" s="228"/>
      <c r="II527" s="228"/>
      <c r="IJ527" s="228"/>
      <c r="IK527" s="228"/>
      <c r="IL527" s="228"/>
      <c r="IM527" s="228"/>
      <c r="IN527" s="228"/>
      <c r="IO527" s="228"/>
      <c r="IP527" s="228"/>
      <c r="IQ527" s="228"/>
      <c r="IR527" s="228"/>
      <c r="IS527" s="228"/>
      <c r="IT527" s="228"/>
      <c r="IU527" s="228"/>
      <c r="IV527" s="228"/>
    </row>
    <row r="528" spans="1:256" ht="15" customHeight="1" thickBot="1">
      <c r="A528" s="535" t="s">
        <v>1309</v>
      </c>
      <c r="B528" s="24" t="s">
        <v>1150</v>
      </c>
      <c r="C528" s="492" t="s">
        <v>64</v>
      </c>
      <c r="D528" s="23">
        <f>2*1.05</f>
        <v>2.1</v>
      </c>
      <c r="E528" s="25">
        <f>MATERIALES!E202</f>
        <v>111.21</v>
      </c>
      <c r="F528" s="25">
        <f>E528*D528</f>
        <v>233.541</v>
      </c>
      <c r="H528" s="25"/>
      <c r="I528" s="25"/>
      <c r="J528" s="25"/>
      <c r="K528" s="25"/>
      <c r="L528" s="25"/>
      <c r="M528" s="25"/>
      <c r="O528" s="539" t="s">
        <v>1161</v>
      </c>
      <c r="P528" s="538" t="s">
        <v>1160</v>
      </c>
      <c r="Q528" s="539" t="s">
        <v>64</v>
      </c>
      <c r="R528" s="540">
        <f>1*1.05</f>
        <v>1.05</v>
      </c>
      <c r="S528" s="25">
        <f>MATERIALES!E209</f>
        <v>15.3</v>
      </c>
      <c r="T528" s="25">
        <f>R528*S528</f>
        <v>16.065000000000001</v>
      </c>
      <c r="V528" s="25"/>
      <c r="W528" s="25"/>
      <c r="X528" s="25"/>
      <c r="Y528" s="25"/>
      <c r="Z528" s="25"/>
      <c r="AA528" s="25"/>
      <c r="AC528" s="25"/>
      <c r="AD528" s="25"/>
      <c r="AE528" s="25"/>
      <c r="AF528" s="25"/>
      <c r="AG528" s="25"/>
      <c r="AH528" s="25"/>
      <c r="AJ528" s="25"/>
      <c r="AK528" s="25"/>
      <c r="AL528" s="25"/>
      <c r="AM528" s="25"/>
      <c r="AN528" s="25"/>
      <c r="AO528" s="25"/>
    </row>
    <row r="529" spans="1:41" ht="15" customHeight="1" thickBot="1">
      <c r="A529" s="708" t="s">
        <v>18</v>
      </c>
      <c r="B529" s="709"/>
      <c r="C529" s="709"/>
      <c r="D529" s="709"/>
      <c r="E529" s="710"/>
      <c r="F529" s="26">
        <f>SUM(F519:F528)</f>
        <v>1257.2139245594713</v>
      </c>
      <c r="H529" s="773" t="s">
        <v>18</v>
      </c>
      <c r="I529" s="774"/>
      <c r="J529" s="774"/>
      <c r="K529" s="774"/>
      <c r="L529" s="775"/>
      <c r="M529" s="536">
        <f>SUM(M519:M528)</f>
        <v>866.71703733480183</v>
      </c>
      <c r="O529" s="708" t="s">
        <v>18</v>
      </c>
      <c r="P529" s="709"/>
      <c r="Q529" s="709"/>
      <c r="R529" s="709"/>
      <c r="S529" s="710"/>
      <c r="T529" s="26">
        <f>SUM(T519:T528)</f>
        <v>5119.7303568942725</v>
      </c>
      <c r="V529" s="708" t="s">
        <v>18</v>
      </c>
      <c r="W529" s="709"/>
      <c r="X529" s="709"/>
      <c r="Y529" s="709"/>
      <c r="Z529" s="710"/>
      <c r="AA529" s="26">
        <f>SUM(AA519:AA528)</f>
        <v>1178.0315373348024</v>
      </c>
      <c r="AC529" s="708" t="s">
        <v>18</v>
      </c>
      <c r="AD529" s="709"/>
      <c r="AE529" s="709"/>
      <c r="AF529" s="709"/>
      <c r="AG529" s="710"/>
      <c r="AH529" s="26">
        <f>SUM(AH519:AH528)</f>
        <v>2080.6302245594716</v>
      </c>
      <c r="AJ529" s="708" t="s">
        <v>18</v>
      </c>
      <c r="AK529" s="709"/>
      <c r="AL529" s="709"/>
      <c r="AM529" s="709"/>
      <c r="AN529" s="710"/>
      <c r="AO529" s="26">
        <f>SUM(AO519:AO528)</f>
        <v>2246.738587114537</v>
      </c>
    </row>
    <row r="530" spans="1:41" ht="15" customHeight="1" thickBot="1">
      <c r="A530" s="711" t="s">
        <v>19</v>
      </c>
      <c r="B530" s="712"/>
      <c r="C530" s="712"/>
      <c r="D530" s="712"/>
      <c r="E530" s="712"/>
      <c r="F530" s="713"/>
      <c r="H530" s="711" t="s">
        <v>19</v>
      </c>
      <c r="I530" s="712"/>
      <c r="J530" s="712"/>
      <c r="K530" s="712"/>
      <c r="L530" s="712"/>
      <c r="M530" s="713"/>
      <c r="O530" s="711" t="s">
        <v>19</v>
      </c>
      <c r="P530" s="712"/>
      <c r="Q530" s="712"/>
      <c r="R530" s="712"/>
      <c r="S530" s="712"/>
      <c r="T530" s="713"/>
      <c r="V530" s="711" t="s">
        <v>19</v>
      </c>
      <c r="W530" s="712"/>
      <c r="X530" s="712"/>
      <c r="Y530" s="712"/>
      <c r="Z530" s="712"/>
      <c r="AA530" s="713"/>
      <c r="AC530" s="711" t="s">
        <v>19</v>
      </c>
      <c r="AD530" s="712"/>
      <c r="AE530" s="712"/>
      <c r="AF530" s="712"/>
      <c r="AG530" s="712"/>
      <c r="AH530" s="713"/>
      <c r="AJ530" s="711" t="s">
        <v>19</v>
      </c>
      <c r="AK530" s="712"/>
      <c r="AL530" s="712"/>
      <c r="AM530" s="712"/>
      <c r="AN530" s="712"/>
      <c r="AO530" s="713"/>
    </row>
    <row r="531" spans="1:41" ht="15" customHeight="1" thickBot="1">
      <c r="A531" s="8" t="s">
        <v>1</v>
      </c>
      <c r="B531" s="5" t="s">
        <v>2</v>
      </c>
      <c r="C531" s="8" t="s">
        <v>3</v>
      </c>
      <c r="D531" s="8" t="s">
        <v>9</v>
      </c>
      <c r="E531" s="8" t="s">
        <v>10</v>
      </c>
      <c r="F531" s="8" t="s">
        <v>11</v>
      </c>
      <c r="H531" s="8" t="s">
        <v>1</v>
      </c>
      <c r="I531" s="5" t="s">
        <v>2</v>
      </c>
      <c r="J531" s="8" t="s">
        <v>3</v>
      </c>
      <c r="K531" s="8" t="s">
        <v>9</v>
      </c>
      <c r="L531" s="8" t="s">
        <v>10</v>
      </c>
      <c r="M531" s="8" t="s">
        <v>11</v>
      </c>
      <c r="O531" s="8" t="s">
        <v>1</v>
      </c>
      <c r="P531" s="5" t="s">
        <v>2</v>
      </c>
      <c r="Q531" s="8" t="s">
        <v>3</v>
      </c>
      <c r="R531" s="8" t="s">
        <v>9</v>
      </c>
      <c r="S531" s="8" t="s">
        <v>10</v>
      </c>
      <c r="T531" s="8" t="s">
        <v>11</v>
      </c>
      <c r="V531" s="8" t="s">
        <v>1</v>
      </c>
      <c r="W531" s="5" t="s">
        <v>2</v>
      </c>
      <c r="X531" s="8" t="s">
        <v>3</v>
      </c>
      <c r="Y531" s="8" t="s">
        <v>9</v>
      </c>
      <c r="Z531" s="8" t="s">
        <v>10</v>
      </c>
      <c r="AA531" s="8" t="s">
        <v>11</v>
      </c>
      <c r="AC531" s="8" t="s">
        <v>1</v>
      </c>
      <c r="AD531" s="5" t="s">
        <v>2</v>
      </c>
      <c r="AE531" s="8" t="s">
        <v>3</v>
      </c>
      <c r="AF531" s="8" t="s">
        <v>9</v>
      </c>
      <c r="AG531" s="8" t="s">
        <v>10</v>
      </c>
      <c r="AH531" s="8" t="s">
        <v>11</v>
      </c>
      <c r="AJ531" s="8" t="s">
        <v>1</v>
      </c>
      <c r="AK531" s="5" t="s">
        <v>2</v>
      </c>
      <c r="AL531" s="8" t="s">
        <v>3</v>
      </c>
      <c r="AM531" s="8" t="s">
        <v>9</v>
      </c>
      <c r="AN531" s="8" t="s">
        <v>10</v>
      </c>
      <c r="AO531" s="8" t="s">
        <v>11</v>
      </c>
    </row>
    <row r="532" spans="1:41" ht="15" customHeight="1">
      <c r="A532" s="463" t="s">
        <v>1013</v>
      </c>
      <c r="B532" s="459" t="s">
        <v>1046</v>
      </c>
      <c r="C532" s="9" t="s">
        <v>21</v>
      </c>
      <c r="D532" s="27">
        <f>1/3</f>
        <v>0.33333333333333331</v>
      </c>
      <c r="E532" s="12">
        <f>'ANÁLISIS CUADRILLAS'!F56</f>
        <v>1160.5378059999998</v>
      </c>
      <c r="F532" s="13">
        <f>D532*E532</f>
        <v>386.84593533333327</v>
      </c>
      <c r="H532" s="463" t="s">
        <v>1013</v>
      </c>
      <c r="I532" s="459" t="s">
        <v>1046</v>
      </c>
      <c r="J532" s="9" t="s">
        <v>21</v>
      </c>
      <c r="K532" s="27">
        <f>1/3</f>
        <v>0.33333333333333331</v>
      </c>
      <c r="L532" s="12">
        <f>'ANÁLISIS CUADRILLAS'!F56</f>
        <v>1160.5378059999998</v>
      </c>
      <c r="M532" s="13">
        <f>K532*L532</f>
        <v>386.84593533333327</v>
      </c>
      <c r="O532" s="463" t="s">
        <v>1013</v>
      </c>
      <c r="P532" s="459" t="s">
        <v>1046</v>
      </c>
      <c r="Q532" s="9" t="s">
        <v>21</v>
      </c>
      <c r="R532" s="27">
        <f>1/3</f>
        <v>0.33333333333333331</v>
      </c>
      <c r="S532" s="12">
        <f>'ANÁLISIS CUADRILLAS'!F56</f>
        <v>1160.5378059999998</v>
      </c>
      <c r="T532" s="13">
        <f>R532*S532</f>
        <v>386.84593533333327</v>
      </c>
      <c r="V532" s="463" t="s">
        <v>1013</v>
      </c>
      <c r="W532" s="459" t="s">
        <v>1046</v>
      </c>
      <c r="X532" s="9" t="s">
        <v>21</v>
      </c>
      <c r="Y532" s="27">
        <f>1/3</f>
        <v>0.33333333333333331</v>
      </c>
      <c r="Z532" s="12">
        <f>'ANÁLISIS CUADRILLAS'!F56</f>
        <v>1160.5378059999998</v>
      </c>
      <c r="AA532" s="13">
        <f>Y532*Z532</f>
        <v>386.84593533333327</v>
      </c>
      <c r="AC532" s="463" t="s">
        <v>1013</v>
      </c>
      <c r="AD532" s="459" t="s">
        <v>1046</v>
      </c>
      <c r="AE532" s="9" t="s">
        <v>21</v>
      </c>
      <c r="AF532" s="27">
        <f>1/3</f>
        <v>0.33333333333333331</v>
      </c>
      <c r="AG532" s="12">
        <f>'ANÁLISIS CUADRILLAS'!F56</f>
        <v>1160.5378059999998</v>
      </c>
      <c r="AH532" s="13">
        <f>AF532*AG532</f>
        <v>386.84593533333327</v>
      </c>
      <c r="AJ532" s="463" t="s">
        <v>1013</v>
      </c>
      <c r="AK532" s="459" t="s">
        <v>1046</v>
      </c>
      <c r="AL532" s="9" t="s">
        <v>21</v>
      </c>
      <c r="AM532" s="27">
        <f>1/3</f>
        <v>0.33333333333333331</v>
      </c>
      <c r="AN532" s="12">
        <f>'ANÁLISIS CUADRILLAS'!F56</f>
        <v>1160.5378059999998</v>
      </c>
      <c r="AO532" s="13">
        <f>AM532*AN532</f>
        <v>386.84593533333327</v>
      </c>
    </row>
    <row r="533" spans="1:41" ht="15" customHeight="1" thickBot="1">
      <c r="A533" s="23"/>
      <c r="B533" s="24"/>
      <c r="C533" s="23"/>
      <c r="D533" s="23"/>
      <c r="E533" s="25"/>
      <c r="F533" s="25"/>
      <c r="H533" s="23"/>
      <c r="I533" s="24"/>
      <c r="J533" s="23"/>
      <c r="K533" s="23"/>
      <c r="L533" s="25"/>
      <c r="M533" s="25"/>
      <c r="O533" s="23"/>
      <c r="P533" s="24"/>
      <c r="Q533" s="23"/>
      <c r="R533" s="23"/>
      <c r="S533" s="25"/>
      <c r="T533" s="25"/>
      <c r="V533" s="23"/>
      <c r="W533" s="24"/>
      <c r="X533" s="23"/>
      <c r="Y533" s="23"/>
      <c r="Z533" s="25"/>
      <c r="AA533" s="25"/>
      <c r="AC533" s="23"/>
      <c r="AD533" s="24"/>
      <c r="AE533" s="23"/>
      <c r="AF533" s="23"/>
      <c r="AG533" s="25"/>
      <c r="AH533" s="25"/>
      <c r="AJ533" s="23"/>
      <c r="AK533" s="24"/>
      <c r="AL533" s="23"/>
      <c r="AM533" s="23"/>
      <c r="AN533" s="25"/>
      <c r="AO533" s="25"/>
    </row>
    <row r="534" spans="1:41" ht="15" customHeight="1" thickBot="1">
      <c r="A534" s="714" t="s">
        <v>18</v>
      </c>
      <c r="B534" s="715"/>
      <c r="C534" s="715"/>
      <c r="D534" s="715"/>
      <c r="E534" s="716"/>
      <c r="F534" s="35">
        <f>SUM(F532:F533)</f>
        <v>386.84593533333327</v>
      </c>
      <c r="H534" s="714" t="s">
        <v>18</v>
      </c>
      <c r="I534" s="715"/>
      <c r="J534" s="715"/>
      <c r="K534" s="715"/>
      <c r="L534" s="716"/>
      <c r="M534" s="35">
        <f>SUM(M532:M533)</f>
        <v>386.84593533333327</v>
      </c>
      <c r="O534" s="714" t="s">
        <v>18</v>
      </c>
      <c r="P534" s="715"/>
      <c r="Q534" s="715"/>
      <c r="R534" s="715"/>
      <c r="S534" s="716"/>
      <c r="T534" s="35">
        <f>SUM(T532:T533)</f>
        <v>386.84593533333327</v>
      </c>
      <c r="V534" s="714" t="s">
        <v>18</v>
      </c>
      <c r="W534" s="715"/>
      <c r="X534" s="715"/>
      <c r="Y534" s="715"/>
      <c r="Z534" s="716"/>
      <c r="AA534" s="35">
        <f>SUM(AA532:AA533)</f>
        <v>386.84593533333327</v>
      </c>
      <c r="AC534" s="714" t="s">
        <v>18</v>
      </c>
      <c r="AD534" s="715"/>
      <c r="AE534" s="715"/>
      <c r="AF534" s="715"/>
      <c r="AG534" s="716"/>
      <c r="AH534" s="35">
        <f>SUM(AH532:AH533)</f>
        <v>386.84593533333327</v>
      </c>
      <c r="AJ534" s="714" t="s">
        <v>18</v>
      </c>
      <c r="AK534" s="715"/>
      <c r="AL534" s="715"/>
      <c r="AM534" s="715"/>
      <c r="AN534" s="716"/>
      <c r="AO534" s="35">
        <f>SUM(AO532:AO533)</f>
        <v>386.84593533333327</v>
      </c>
    </row>
    <row r="535" spans="1:41" ht="15" customHeight="1" thickBot="1">
      <c r="A535" s="717" t="s">
        <v>23</v>
      </c>
      <c r="B535" s="718"/>
      <c r="C535" s="718"/>
      <c r="D535" s="718"/>
      <c r="E535" s="718"/>
      <c r="F535" s="719"/>
      <c r="H535" s="717" t="s">
        <v>23</v>
      </c>
      <c r="I535" s="718"/>
      <c r="J535" s="718"/>
      <c r="K535" s="718"/>
      <c r="L535" s="718"/>
      <c r="M535" s="719"/>
      <c r="O535" s="717" t="s">
        <v>23</v>
      </c>
      <c r="P535" s="718"/>
      <c r="Q535" s="718"/>
      <c r="R535" s="718"/>
      <c r="S535" s="718"/>
      <c r="T535" s="719"/>
      <c r="V535" s="717" t="s">
        <v>23</v>
      </c>
      <c r="W535" s="718"/>
      <c r="X535" s="718"/>
      <c r="Y535" s="718"/>
      <c r="Z535" s="718"/>
      <c r="AA535" s="719"/>
      <c r="AC535" s="717" t="s">
        <v>23</v>
      </c>
      <c r="AD535" s="718"/>
      <c r="AE535" s="718"/>
      <c r="AF535" s="718"/>
      <c r="AG535" s="718"/>
      <c r="AH535" s="719"/>
      <c r="AJ535" s="717" t="s">
        <v>23</v>
      </c>
      <c r="AK535" s="718"/>
      <c r="AL535" s="718"/>
      <c r="AM535" s="718"/>
      <c r="AN535" s="718"/>
      <c r="AO535" s="719"/>
    </row>
    <row r="536" spans="1:41" ht="15" customHeight="1" thickBot="1">
      <c r="A536" s="8" t="s">
        <v>1</v>
      </c>
      <c r="B536" s="5" t="s">
        <v>2</v>
      </c>
      <c r="C536" s="8" t="s">
        <v>3</v>
      </c>
      <c r="D536" s="8" t="s">
        <v>9</v>
      </c>
      <c r="E536" s="8" t="s">
        <v>10</v>
      </c>
      <c r="F536" s="8" t="s">
        <v>11</v>
      </c>
      <c r="H536" s="8" t="s">
        <v>1</v>
      </c>
      <c r="I536" s="5" t="s">
        <v>2</v>
      </c>
      <c r="J536" s="8" t="s">
        <v>3</v>
      </c>
      <c r="K536" s="8" t="s">
        <v>9</v>
      </c>
      <c r="L536" s="8" t="s">
        <v>10</v>
      </c>
      <c r="M536" s="8" t="s">
        <v>11</v>
      </c>
      <c r="O536" s="8" t="s">
        <v>1</v>
      </c>
      <c r="P536" s="5" t="s">
        <v>2</v>
      </c>
      <c r="Q536" s="8" t="s">
        <v>3</v>
      </c>
      <c r="R536" s="8" t="s">
        <v>9</v>
      </c>
      <c r="S536" s="8" t="s">
        <v>10</v>
      </c>
      <c r="T536" s="8" t="s">
        <v>11</v>
      </c>
      <c r="V536" s="8" t="s">
        <v>1</v>
      </c>
      <c r="W536" s="5" t="s">
        <v>2</v>
      </c>
      <c r="X536" s="8" t="s">
        <v>3</v>
      </c>
      <c r="Y536" s="8" t="s">
        <v>9</v>
      </c>
      <c r="Z536" s="8" t="s">
        <v>10</v>
      </c>
      <c r="AA536" s="8" t="s">
        <v>11</v>
      </c>
      <c r="AC536" s="8" t="s">
        <v>1</v>
      </c>
      <c r="AD536" s="5" t="s">
        <v>2</v>
      </c>
      <c r="AE536" s="8" t="s">
        <v>3</v>
      </c>
      <c r="AF536" s="8" t="s">
        <v>9</v>
      </c>
      <c r="AG536" s="8" t="s">
        <v>10</v>
      </c>
      <c r="AH536" s="8" t="s">
        <v>11</v>
      </c>
      <c r="AJ536" s="8" t="s">
        <v>1</v>
      </c>
      <c r="AK536" s="5" t="s">
        <v>2</v>
      </c>
      <c r="AL536" s="8" t="s">
        <v>3</v>
      </c>
      <c r="AM536" s="8" t="s">
        <v>9</v>
      </c>
      <c r="AN536" s="8" t="s">
        <v>10</v>
      </c>
      <c r="AO536" s="8" t="s">
        <v>11</v>
      </c>
    </row>
    <row r="537" spans="1:41" ht="15" customHeight="1" thickBot="1">
      <c r="A537" s="36" t="s">
        <v>24</v>
      </c>
      <c r="B537" s="37" t="s">
        <v>23</v>
      </c>
      <c r="C537" s="36" t="s">
        <v>25</v>
      </c>
      <c r="D537" s="38">
        <v>0.03</v>
      </c>
      <c r="E537" s="39">
        <f>F532</f>
        <v>386.84593533333327</v>
      </c>
      <c r="F537" s="39">
        <f>(D537*E537)</f>
        <v>11.605378059999998</v>
      </c>
      <c r="H537" s="36" t="s">
        <v>24</v>
      </c>
      <c r="I537" s="37" t="s">
        <v>23</v>
      </c>
      <c r="J537" s="36" t="s">
        <v>25</v>
      </c>
      <c r="K537" s="38">
        <v>0.03</v>
      </c>
      <c r="L537" s="39">
        <f>M532</f>
        <v>386.84593533333327</v>
      </c>
      <c r="M537" s="39">
        <f>(K537*L537)</f>
        <v>11.605378059999998</v>
      </c>
      <c r="O537" s="36" t="s">
        <v>24</v>
      </c>
      <c r="P537" s="37" t="s">
        <v>23</v>
      </c>
      <c r="Q537" s="36" t="s">
        <v>25</v>
      </c>
      <c r="R537" s="38">
        <v>0.03</v>
      </c>
      <c r="S537" s="39">
        <f>T532</f>
        <v>386.84593533333327</v>
      </c>
      <c r="T537" s="39">
        <f>(R537*S537)</f>
        <v>11.605378059999998</v>
      </c>
      <c r="V537" s="36" t="s">
        <v>24</v>
      </c>
      <c r="W537" s="37" t="s">
        <v>23</v>
      </c>
      <c r="X537" s="36" t="s">
        <v>25</v>
      </c>
      <c r="Y537" s="38">
        <v>0.03</v>
      </c>
      <c r="Z537" s="39">
        <f>AA532</f>
        <v>386.84593533333327</v>
      </c>
      <c r="AA537" s="39">
        <f>(Y537*Z537)</f>
        <v>11.605378059999998</v>
      </c>
      <c r="AC537" s="36" t="s">
        <v>24</v>
      </c>
      <c r="AD537" s="37" t="s">
        <v>23</v>
      </c>
      <c r="AE537" s="36" t="s">
        <v>25</v>
      </c>
      <c r="AF537" s="38">
        <v>0.03</v>
      </c>
      <c r="AG537" s="39">
        <f>AH532</f>
        <v>386.84593533333327</v>
      </c>
      <c r="AH537" s="39">
        <f>(AF537*AG537)</f>
        <v>11.605378059999998</v>
      </c>
      <c r="AJ537" s="36" t="s">
        <v>24</v>
      </c>
      <c r="AK537" s="37" t="s">
        <v>23</v>
      </c>
      <c r="AL537" s="36" t="s">
        <v>25</v>
      </c>
      <c r="AM537" s="38">
        <v>0.03</v>
      </c>
      <c r="AN537" s="39">
        <f>AO532</f>
        <v>386.84593533333327</v>
      </c>
      <c r="AO537" s="39">
        <f>(AM537*AN537)</f>
        <v>11.605378059999998</v>
      </c>
    </row>
    <row r="538" spans="1:41" ht="15" customHeight="1" thickBot="1">
      <c r="A538" s="720" t="s">
        <v>26</v>
      </c>
      <c r="B538" s="721"/>
      <c r="C538" s="721"/>
      <c r="D538" s="721"/>
      <c r="E538" s="722"/>
      <c r="F538" s="40">
        <f>SUM(F537)</f>
        <v>11.605378059999998</v>
      </c>
      <c r="H538" s="720" t="s">
        <v>26</v>
      </c>
      <c r="I538" s="721"/>
      <c r="J538" s="721"/>
      <c r="K538" s="721"/>
      <c r="L538" s="722"/>
      <c r="M538" s="40">
        <f>SUM(M537)</f>
        <v>11.605378059999998</v>
      </c>
      <c r="O538" s="720" t="s">
        <v>26</v>
      </c>
      <c r="P538" s="721"/>
      <c r="Q538" s="721"/>
      <c r="R538" s="721"/>
      <c r="S538" s="722"/>
      <c r="T538" s="40">
        <f>SUM(T537)</f>
        <v>11.605378059999998</v>
      </c>
      <c r="V538" s="720" t="s">
        <v>26</v>
      </c>
      <c r="W538" s="721"/>
      <c r="X538" s="721"/>
      <c r="Y538" s="721"/>
      <c r="Z538" s="722"/>
      <c r="AA538" s="40">
        <f>SUM(AA537)</f>
        <v>11.605378059999998</v>
      </c>
      <c r="AC538" s="720" t="s">
        <v>26</v>
      </c>
      <c r="AD538" s="721"/>
      <c r="AE538" s="721"/>
      <c r="AF538" s="721"/>
      <c r="AG538" s="722"/>
      <c r="AH538" s="40">
        <f>SUM(AH537)</f>
        <v>11.605378059999998</v>
      </c>
      <c r="AJ538" s="720" t="s">
        <v>26</v>
      </c>
      <c r="AK538" s="721"/>
      <c r="AL538" s="721"/>
      <c r="AM538" s="721"/>
      <c r="AN538" s="722"/>
      <c r="AO538" s="40">
        <f>SUM(AO537)</f>
        <v>11.605378059999998</v>
      </c>
    </row>
    <row r="539" spans="1:41" ht="15" customHeight="1" thickBot="1">
      <c r="A539" s="723" t="s">
        <v>27</v>
      </c>
      <c r="B539" s="724"/>
      <c r="C539" s="724"/>
      <c r="D539" s="724"/>
      <c r="E539" s="724"/>
      <c r="F539" s="725"/>
      <c r="H539" s="723" t="s">
        <v>27</v>
      </c>
      <c r="I539" s="724"/>
      <c r="J539" s="724"/>
      <c r="K539" s="724"/>
      <c r="L539" s="724"/>
      <c r="M539" s="725"/>
      <c r="O539" s="723" t="s">
        <v>27</v>
      </c>
      <c r="P539" s="724"/>
      <c r="Q539" s="724"/>
      <c r="R539" s="724"/>
      <c r="S539" s="724"/>
      <c r="T539" s="725"/>
      <c r="V539" s="723" t="s">
        <v>27</v>
      </c>
      <c r="W539" s="724"/>
      <c r="X539" s="724"/>
      <c r="Y539" s="724"/>
      <c r="Z539" s="724"/>
      <c r="AA539" s="725"/>
      <c r="AC539" s="723" t="s">
        <v>27</v>
      </c>
      <c r="AD539" s="724"/>
      <c r="AE539" s="724"/>
      <c r="AF539" s="724"/>
      <c r="AG539" s="724"/>
      <c r="AH539" s="725"/>
      <c r="AJ539" s="723" t="s">
        <v>27</v>
      </c>
      <c r="AK539" s="724"/>
      <c r="AL539" s="724"/>
      <c r="AM539" s="724"/>
      <c r="AN539" s="724"/>
      <c r="AO539" s="725"/>
    </row>
    <row r="540" spans="1:41" ht="15" customHeight="1" thickBot="1">
      <c r="A540" s="8" t="s">
        <v>1</v>
      </c>
      <c r="B540" s="5" t="s">
        <v>2</v>
      </c>
      <c r="C540" s="8" t="s">
        <v>3</v>
      </c>
      <c r="D540" s="8" t="s">
        <v>9</v>
      </c>
      <c r="E540" s="8" t="s">
        <v>10</v>
      </c>
      <c r="F540" s="8" t="s">
        <v>11</v>
      </c>
      <c r="H540" s="8" t="s">
        <v>1</v>
      </c>
      <c r="I540" s="5" t="s">
        <v>2</v>
      </c>
      <c r="J540" s="8" t="s">
        <v>3</v>
      </c>
      <c r="K540" s="8" t="s">
        <v>9</v>
      </c>
      <c r="L540" s="8" t="s">
        <v>10</v>
      </c>
      <c r="M540" s="8" t="s">
        <v>11</v>
      </c>
      <c r="O540" s="8" t="s">
        <v>1</v>
      </c>
      <c r="P540" s="5" t="s">
        <v>2</v>
      </c>
      <c r="Q540" s="8" t="s">
        <v>3</v>
      </c>
      <c r="R540" s="8" t="s">
        <v>9</v>
      </c>
      <c r="S540" s="8" t="s">
        <v>10</v>
      </c>
      <c r="T540" s="8" t="s">
        <v>11</v>
      </c>
      <c r="V540" s="8" t="s">
        <v>1</v>
      </c>
      <c r="W540" s="5" t="s">
        <v>2</v>
      </c>
      <c r="X540" s="8" t="s">
        <v>3</v>
      </c>
      <c r="Y540" s="8" t="s">
        <v>9</v>
      </c>
      <c r="Z540" s="8" t="s">
        <v>10</v>
      </c>
      <c r="AA540" s="8" t="s">
        <v>11</v>
      </c>
      <c r="AC540" s="8" t="s">
        <v>1</v>
      </c>
      <c r="AD540" s="5" t="s">
        <v>2</v>
      </c>
      <c r="AE540" s="8" t="s">
        <v>3</v>
      </c>
      <c r="AF540" s="8" t="s">
        <v>9</v>
      </c>
      <c r="AG540" s="8" t="s">
        <v>10</v>
      </c>
      <c r="AH540" s="8" t="s">
        <v>11</v>
      </c>
      <c r="AJ540" s="8" t="s">
        <v>1</v>
      </c>
      <c r="AK540" s="5" t="s">
        <v>2</v>
      </c>
      <c r="AL540" s="8" t="s">
        <v>3</v>
      </c>
      <c r="AM540" s="8" t="s">
        <v>9</v>
      </c>
      <c r="AN540" s="8" t="s">
        <v>10</v>
      </c>
      <c r="AO540" s="8" t="s">
        <v>11</v>
      </c>
    </row>
    <row r="541" spans="1:41" ht="15" customHeight="1" thickBot="1">
      <c r="A541" s="9" t="s">
        <v>28</v>
      </c>
      <c r="B541" s="10" t="s">
        <v>29</v>
      </c>
      <c r="C541" s="9" t="s">
        <v>25</v>
      </c>
      <c r="D541" s="11">
        <v>0.02</v>
      </c>
      <c r="E541" s="13">
        <f>F532</f>
        <v>386.84593533333327</v>
      </c>
      <c r="F541" s="13">
        <f>(D541*E541)</f>
        <v>7.7369187066666658</v>
      </c>
      <c r="H541" s="9" t="s">
        <v>28</v>
      </c>
      <c r="I541" s="10" t="s">
        <v>29</v>
      </c>
      <c r="J541" s="9" t="s">
        <v>25</v>
      </c>
      <c r="K541" s="11">
        <v>0.02</v>
      </c>
      <c r="L541" s="13">
        <f>M532</f>
        <v>386.84593533333327</v>
      </c>
      <c r="M541" s="13">
        <f>(K541*L541)</f>
        <v>7.7369187066666658</v>
      </c>
      <c r="O541" s="9" t="s">
        <v>28</v>
      </c>
      <c r="P541" s="10" t="s">
        <v>29</v>
      </c>
      <c r="Q541" s="9" t="s">
        <v>25</v>
      </c>
      <c r="R541" s="11">
        <v>0.02</v>
      </c>
      <c r="S541" s="13">
        <f>T532</f>
        <v>386.84593533333327</v>
      </c>
      <c r="T541" s="13">
        <f>(R541*S541)</f>
        <v>7.7369187066666658</v>
      </c>
      <c r="V541" s="9" t="s">
        <v>28</v>
      </c>
      <c r="W541" s="10" t="s">
        <v>29</v>
      </c>
      <c r="X541" s="9" t="s">
        <v>25</v>
      </c>
      <c r="Y541" s="11">
        <v>0.02</v>
      </c>
      <c r="Z541" s="13">
        <f>AA532</f>
        <v>386.84593533333327</v>
      </c>
      <c r="AA541" s="13">
        <f>(Y541*Z541)</f>
        <v>7.7369187066666658</v>
      </c>
      <c r="AC541" s="9" t="s">
        <v>28</v>
      </c>
      <c r="AD541" s="10" t="s">
        <v>29</v>
      </c>
      <c r="AE541" s="9" t="s">
        <v>25</v>
      </c>
      <c r="AF541" s="11">
        <v>0.02</v>
      </c>
      <c r="AG541" s="13">
        <f>AH532</f>
        <v>386.84593533333327</v>
      </c>
      <c r="AH541" s="13">
        <f>(AF541*AG541)</f>
        <v>7.7369187066666658</v>
      </c>
      <c r="AJ541" s="9" t="s">
        <v>28</v>
      </c>
      <c r="AK541" s="10" t="s">
        <v>29</v>
      </c>
      <c r="AL541" s="9" t="s">
        <v>25</v>
      </c>
      <c r="AM541" s="11">
        <v>0.02</v>
      </c>
      <c r="AN541" s="13">
        <f>AO532</f>
        <v>386.84593533333327</v>
      </c>
      <c r="AO541" s="13">
        <f>(AM541*AN541)</f>
        <v>7.7369187066666658</v>
      </c>
    </row>
    <row r="542" spans="1:41" ht="15" customHeight="1" thickBot="1">
      <c r="A542" s="470"/>
      <c r="B542" s="469"/>
      <c r="C542" s="470"/>
      <c r="D542" s="471"/>
      <c r="E542" s="12"/>
      <c r="F542" s="13"/>
      <c r="H542" s="470"/>
      <c r="I542" s="469"/>
      <c r="J542" s="470"/>
      <c r="K542" s="471"/>
      <c r="L542" s="12"/>
      <c r="M542" s="13"/>
      <c r="O542" s="470"/>
      <c r="P542" s="469"/>
      <c r="Q542" s="470"/>
      <c r="R542" s="471"/>
      <c r="S542" s="12"/>
      <c r="T542" s="13"/>
      <c r="V542" s="470"/>
      <c r="W542" s="469"/>
      <c r="X542" s="470"/>
      <c r="Y542" s="471"/>
      <c r="Z542" s="12"/>
      <c r="AA542" s="13"/>
      <c r="AC542" s="470"/>
      <c r="AD542" s="469"/>
      <c r="AE542" s="470"/>
      <c r="AF542" s="471"/>
      <c r="AG542" s="12"/>
      <c r="AH542" s="13"/>
      <c r="AJ542" s="470"/>
      <c r="AK542" s="469"/>
      <c r="AL542" s="470"/>
      <c r="AM542" s="471"/>
      <c r="AN542" s="12"/>
      <c r="AO542" s="13"/>
    </row>
    <row r="543" spans="1:41" ht="15" customHeight="1" thickBot="1">
      <c r="A543" s="726" t="s">
        <v>34</v>
      </c>
      <c r="B543" s="727"/>
      <c r="C543" s="727"/>
      <c r="D543" s="727"/>
      <c r="E543" s="728"/>
      <c r="F543" s="41">
        <f>SUM(F541:F542)</f>
        <v>7.7369187066666658</v>
      </c>
      <c r="H543" s="726" t="s">
        <v>34</v>
      </c>
      <c r="I543" s="727"/>
      <c r="J543" s="727"/>
      <c r="K543" s="727"/>
      <c r="L543" s="728"/>
      <c r="M543" s="41">
        <f>SUM(M541:M542)</f>
        <v>7.7369187066666658</v>
      </c>
      <c r="O543" s="726" t="s">
        <v>34</v>
      </c>
      <c r="P543" s="727"/>
      <c r="Q543" s="727"/>
      <c r="R543" s="727"/>
      <c r="S543" s="728"/>
      <c r="T543" s="41">
        <f>SUM(T541:T542)</f>
        <v>7.7369187066666658</v>
      </c>
      <c r="V543" s="726" t="s">
        <v>34</v>
      </c>
      <c r="W543" s="727"/>
      <c r="X543" s="727"/>
      <c r="Y543" s="727"/>
      <c r="Z543" s="728"/>
      <c r="AA543" s="41">
        <f>SUM(AA541:AA542)</f>
        <v>7.7369187066666658</v>
      </c>
      <c r="AC543" s="726" t="s">
        <v>34</v>
      </c>
      <c r="AD543" s="727"/>
      <c r="AE543" s="727"/>
      <c r="AF543" s="727"/>
      <c r="AG543" s="728"/>
      <c r="AH543" s="41">
        <f>SUM(AH541:AH542)</f>
        <v>7.7369187066666658</v>
      </c>
      <c r="AJ543" s="726" t="s">
        <v>34</v>
      </c>
      <c r="AK543" s="727"/>
      <c r="AL543" s="727"/>
      <c r="AM543" s="727"/>
      <c r="AN543" s="728"/>
      <c r="AO543" s="41">
        <f>SUM(AO541:AO542)</f>
        <v>7.7369187066666658</v>
      </c>
    </row>
    <row r="544" spans="1:41" ht="15" customHeight="1" thickBot="1">
      <c r="A544" s="729" t="s">
        <v>35</v>
      </c>
      <c r="B544" s="730"/>
      <c r="C544" s="730"/>
      <c r="D544" s="730"/>
      <c r="E544" s="730"/>
      <c r="F544" s="731"/>
      <c r="H544" s="729" t="s">
        <v>35</v>
      </c>
      <c r="I544" s="730"/>
      <c r="J544" s="730"/>
      <c r="K544" s="730"/>
      <c r="L544" s="730"/>
      <c r="M544" s="731"/>
      <c r="O544" s="729" t="s">
        <v>35</v>
      </c>
      <c r="P544" s="730"/>
      <c r="Q544" s="730"/>
      <c r="R544" s="730"/>
      <c r="S544" s="730"/>
      <c r="T544" s="731"/>
      <c r="V544" s="729" t="s">
        <v>35</v>
      </c>
      <c r="W544" s="730"/>
      <c r="X544" s="730"/>
      <c r="Y544" s="730"/>
      <c r="Z544" s="730"/>
      <c r="AA544" s="731"/>
      <c r="AC544" s="729" t="s">
        <v>35</v>
      </c>
      <c r="AD544" s="730"/>
      <c r="AE544" s="730"/>
      <c r="AF544" s="730"/>
      <c r="AG544" s="730"/>
      <c r="AH544" s="731"/>
      <c r="AJ544" s="729" t="s">
        <v>35</v>
      </c>
      <c r="AK544" s="730"/>
      <c r="AL544" s="730"/>
      <c r="AM544" s="730"/>
      <c r="AN544" s="730"/>
      <c r="AO544" s="731"/>
    </row>
    <row r="545" spans="1:41" ht="15" customHeight="1">
      <c r="A545" s="476" t="s">
        <v>1</v>
      </c>
      <c r="B545" s="486" t="s">
        <v>2</v>
      </c>
      <c r="C545" s="487" t="s">
        <v>3</v>
      </c>
      <c r="D545" s="487" t="s">
        <v>9</v>
      </c>
      <c r="E545" s="487" t="s">
        <v>10</v>
      </c>
      <c r="F545" s="487"/>
      <c r="H545" s="476" t="s">
        <v>1</v>
      </c>
      <c r="I545" s="486" t="s">
        <v>2</v>
      </c>
      <c r="J545" s="487" t="s">
        <v>3</v>
      </c>
      <c r="K545" s="487" t="s">
        <v>9</v>
      </c>
      <c r="L545" s="487" t="s">
        <v>10</v>
      </c>
      <c r="M545" s="487"/>
      <c r="O545" s="476" t="s">
        <v>1</v>
      </c>
      <c r="P545" s="486" t="s">
        <v>2</v>
      </c>
      <c r="Q545" s="487" t="s">
        <v>3</v>
      </c>
      <c r="R545" s="487" t="s">
        <v>9</v>
      </c>
      <c r="S545" s="487" t="s">
        <v>10</v>
      </c>
      <c r="T545" s="487"/>
      <c r="V545" s="476" t="s">
        <v>1</v>
      </c>
      <c r="W545" s="486" t="s">
        <v>2</v>
      </c>
      <c r="X545" s="487" t="s">
        <v>3</v>
      </c>
      <c r="Y545" s="487" t="s">
        <v>9</v>
      </c>
      <c r="Z545" s="487" t="s">
        <v>10</v>
      </c>
      <c r="AA545" s="487"/>
      <c r="AC545" s="476" t="s">
        <v>1</v>
      </c>
      <c r="AD545" s="486" t="s">
        <v>2</v>
      </c>
      <c r="AE545" s="487" t="s">
        <v>3</v>
      </c>
      <c r="AF545" s="487" t="s">
        <v>9</v>
      </c>
      <c r="AG545" s="487" t="s">
        <v>10</v>
      </c>
      <c r="AH545" s="487"/>
      <c r="AJ545" s="476" t="s">
        <v>1</v>
      </c>
      <c r="AK545" s="486" t="s">
        <v>2</v>
      </c>
      <c r="AL545" s="487" t="s">
        <v>3</v>
      </c>
      <c r="AM545" s="487" t="s">
        <v>9</v>
      </c>
      <c r="AN545" s="487" t="s">
        <v>10</v>
      </c>
      <c r="AO545" s="487"/>
    </row>
    <row r="546" spans="1:41" ht="15" customHeight="1">
      <c r="A546" s="439"/>
      <c r="B546" s="479"/>
      <c r="C546" s="478"/>
      <c r="D546" s="478"/>
      <c r="E546" s="480"/>
      <c r="F546" s="481"/>
      <c r="H546" s="439"/>
      <c r="I546" s="479"/>
      <c r="J546" s="478"/>
      <c r="K546" s="478"/>
      <c r="L546" s="480"/>
      <c r="M546" s="481"/>
      <c r="O546" s="439"/>
      <c r="P546" s="479"/>
      <c r="Q546" s="478"/>
      <c r="R546" s="478"/>
      <c r="S546" s="480"/>
      <c r="T546" s="481"/>
      <c r="V546" s="439"/>
      <c r="W546" s="479"/>
      <c r="X546" s="478"/>
      <c r="Y546" s="478"/>
      <c r="Z546" s="480"/>
      <c r="AA546" s="481"/>
      <c r="AC546" s="439"/>
      <c r="AD546" s="479"/>
      <c r="AE546" s="478"/>
      <c r="AF546" s="478"/>
      <c r="AG546" s="480"/>
      <c r="AH546" s="481"/>
      <c r="AJ546" s="439"/>
      <c r="AK546" s="479"/>
      <c r="AL546" s="478"/>
      <c r="AM546" s="478"/>
      <c r="AN546" s="480"/>
      <c r="AO546" s="481"/>
    </row>
    <row r="547" spans="1:41" ht="15" customHeight="1">
      <c r="A547" s="478"/>
      <c r="B547" s="479"/>
      <c r="C547" s="478"/>
      <c r="D547" s="478"/>
      <c r="E547" s="480"/>
      <c r="F547" s="481"/>
      <c r="H547" s="478"/>
      <c r="I547" s="479"/>
      <c r="J547" s="478"/>
      <c r="K547" s="478"/>
      <c r="L547" s="480"/>
      <c r="M547" s="481"/>
      <c r="O547" s="478"/>
      <c r="P547" s="479"/>
      <c r="Q547" s="478"/>
      <c r="R547" s="478"/>
      <c r="S547" s="480"/>
      <c r="T547" s="481"/>
      <c r="V547" s="478"/>
      <c r="W547" s="479"/>
      <c r="X547" s="478"/>
      <c r="Y547" s="478"/>
      <c r="Z547" s="480"/>
      <c r="AA547" s="481"/>
      <c r="AC547" s="478"/>
      <c r="AD547" s="479"/>
      <c r="AE547" s="478"/>
      <c r="AF547" s="478"/>
      <c r="AG547" s="480"/>
      <c r="AH547" s="481"/>
      <c r="AJ547" s="478"/>
      <c r="AK547" s="479"/>
      <c r="AL547" s="478"/>
      <c r="AM547" s="478"/>
      <c r="AN547" s="480"/>
      <c r="AO547" s="481"/>
    </row>
    <row r="548" spans="1:41" ht="15" customHeight="1" thickBot="1">
      <c r="A548" s="23"/>
      <c r="B548" s="24"/>
      <c r="C548" s="23"/>
      <c r="D548" s="23"/>
      <c r="E548" s="34"/>
      <c r="F548" s="25"/>
      <c r="H548" s="23"/>
      <c r="I548" s="24"/>
      <c r="J548" s="23"/>
      <c r="K548" s="23"/>
      <c r="L548" s="34"/>
      <c r="M548" s="25"/>
      <c r="O548" s="23"/>
      <c r="P548" s="24"/>
      <c r="Q548" s="23"/>
      <c r="R548" s="23"/>
      <c r="S548" s="34"/>
      <c r="T548" s="25"/>
      <c r="V548" s="23"/>
      <c r="W548" s="24"/>
      <c r="X548" s="23"/>
      <c r="Y548" s="23"/>
      <c r="Z548" s="34"/>
      <c r="AA548" s="25"/>
      <c r="AC548" s="23"/>
      <c r="AD548" s="24"/>
      <c r="AE548" s="23"/>
      <c r="AF548" s="23"/>
      <c r="AG548" s="34"/>
      <c r="AH548" s="25"/>
      <c r="AJ548" s="23"/>
      <c r="AK548" s="24"/>
      <c r="AL548" s="23"/>
      <c r="AM548" s="23"/>
      <c r="AN548" s="34"/>
      <c r="AO548" s="25"/>
    </row>
    <row r="549" spans="1:41" ht="15" customHeight="1" thickBot="1">
      <c r="A549" s="732" t="s">
        <v>43</v>
      </c>
      <c r="B549" s="746"/>
      <c r="C549" s="746"/>
      <c r="D549" s="746"/>
      <c r="E549" s="747"/>
      <c r="F549" s="49">
        <f>SUM(F545:F548)</f>
        <v>0</v>
      </c>
      <c r="H549" s="732" t="s">
        <v>43</v>
      </c>
      <c r="I549" s="746"/>
      <c r="J549" s="746"/>
      <c r="K549" s="746"/>
      <c r="L549" s="747"/>
      <c r="M549" s="49">
        <f>SUM(M545:M548)</f>
        <v>0</v>
      </c>
      <c r="O549" s="732" t="s">
        <v>43</v>
      </c>
      <c r="P549" s="746"/>
      <c r="Q549" s="746"/>
      <c r="R549" s="746"/>
      <c r="S549" s="747"/>
      <c r="T549" s="49">
        <f>SUM(T545:T548)</f>
        <v>0</v>
      </c>
      <c r="V549" s="732" t="s">
        <v>43</v>
      </c>
      <c r="W549" s="746"/>
      <c r="X549" s="746"/>
      <c r="Y549" s="746"/>
      <c r="Z549" s="747"/>
      <c r="AA549" s="49">
        <f>SUM(AA545:AA548)</f>
        <v>0</v>
      </c>
      <c r="AC549" s="732" t="s">
        <v>43</v>
      </c>
      <c r="AD549" s="746"/>
      <c r="AE549" s="746"/>
      <c r="AF549" s="746"/>
      <c r="AG549" s="747"/>
      <c r="AH549" s="49">
        <f>SUM(AH545:AH548)</f>
        <v>0</v>
      </c>
      <c r="AJ549" s="732" t="s">
        <v>43</v>
      </c>
      <c r="AK549" s="746"/>
      <c r="AL549" s="746"/>
      <c r="AM549" s="746"/>
      <c r="AN549" s="747"/>
      <c r="AO549" s="49">
        <f>SUM(AO545:AO548)</f>
        <v>0</v>
      </c>
    </row>
    <row r="550" spans="1:41" ht="15" customHeight="1" thickBot="1">
      <c r="A550" s="50"/>
      <c r="B550" s="51"/>
      <c r="C550" s="52"/>
      <c r="D550" s="52"/>
      <c r="E550" s="52"/>
      <c r="F550" s="52"/>
      <c r="H550" s="50"/>
      <c r="I550" s="51"/>
      <c r="J550" s="52"/>
      <c r="K550" s="52"/>
      <c r="L550" s="52"/>
      <c r="M550" s="52"/>
      <c r="O550" s="50"/>
      <c r="P550" s="51"/>
      <c r="Q550" s="52"/>
      <c r="R550" s="52"/>
      <c r="S550" s="52"/>
      <c r="T550" s="52"/>
      <c r="V550" s="50"/>
      <c r="W550" s="51"/>
      <c r="X550" s="52"/>
      <c r="Y550" s="52"/>
      <c r="Z550" s="52"/>
      <c r="AA550" s="52"/>
      <c r="AC550" s="50"/>
      <c r="AD550" s="51"/>
      <c r="AE550" s="52"/>
      <c r="AF550" s="52"/>
      <c r="AG550" s="52"/>
      <c r="AH550" s="52"/>
      <c r="AJ550" s="50"/>
      <c r="AK550" s="51"/>
      <c r="AL550" s="52"/>
      <c r="AM550" s="52"/>
      <c r="AN550" s="52"/>
      <c r="AO550" s="52"/>
    </row>
    <row r="551" spans="1:41" ht="15" customHeight="1" thickBot="1">
      <c r="A551" s="687" t="s">
        <v>44</v>
      </c>
      <c r="B551" s="748"/>
      <c r="C551" s="748"/>
      <c r="D551" s="748"/>
      <c r="E551" s="749"/>
      <c r="F551" s="54">
        <f>SUM(F549,F529,F534,F538,F543)</f>
        <v>1663.4021566594713</v>
      </c>
      <c r="H551" s="687" t="s">
        <v>44</v>
      </c>
      <c r="I551" s="748"/>
      <c r="J551" s="748"/>
      <c r="K551" s="748"/>
      <c r="L551" s="749"/>
      <c r="M551" s="54">
        <f>SUM(M549,M529,M534,M538,M543)</f>
        <v>1272.9052694348018</v>
      </c>
      <c r="O551" s="687" t="s">
        <v>44</v>
      </c>
      <c r="P551" s="748"/>
      <c r="Q551" s="748"/>
      <c r="R551" s="748"/>
      <c r="S551" s="749"/>
      <c r="T551" s="54">
        <f>SUM(T549,T529,T534,T538,T543)</f>
        <v>5525.9185889942728</v>
      </c>
      <c r="V551" s="687" t="s">
        <v>44</v>
      </c>
      <c r="W551" s="748"/>
      <c r="X551" s="748"/>
      <c r="Y551" s="748"/>
      <c r="Z551" s="749"/>
      <c r="AA551" s="54">
        <f>SUM(AA549,AA529,AA534,AA538,AA543)</f>
        <v>1584.2197694348024</v>
      </c>
      <c r="AC551" s="687" t="s">
        <v>44</v>
      </c>
      <c r="AD551" s="748"/>
      <c r="AE551" s="748"/>
      <c r="AF551" s="748"/>
      <c r="AG551" s="749"/>
      <c r="AH551" s="54">
        <f>SUM(AH549,AH529,AH534,AH538,AH543)</f>
        <v>2486.8184566594714</v>
      </c>
      <c r="AJ551" s="687" t="s">
        <v>44</v>
      </c>
      <c r="AK551" s="748"/>
      <c r="AL551" s="748"/>
      <c r="AM551" s="748"/>
      <c r="AN551" s="749"/>
      <c r="AO551" s="54">
        <f>SUM(AO549,AO529,AO534,AO538,AO543)</f>
        <v>2652.9268192145369</v>
      </c>
    </row>
    <row r="552" spans="1:41" ht="15" customHeight="1" thickBot="1">
      <c r="A552" s="687" t="s">
        <v>45</v>
      </c>
      <c r="B552" s="688"/>
      <c r="C552" s="688"/>
      <c r="D552" s="688"/>
      <c r="E552" s="55"/>
      <c r="F552" s="54"/>
      <c r="H552" s="687" t="s">
        <v>45</v>
      </c>
      <c r="I552" s="688"/>
      <c r="J552" s="688"/>
      <c r="K552" s="688"/>
      <c r="L552" s="55"/>
      <c r="M552" s="54"/>
      <c r="O552" s="687" t="s">
        <v>45</v>
      </c>
      <c r="P552" s="688"/>
      <c r="Q552" s="688"/>
      <c r="R552" s="688"/>
      <c r="S552" s="55"/>
      <c r="T552" s="54"/>
      <c r="V552" s="687" t="s">
        <v>45</v>
      </c>
      <c r="W552" s="688"/>
      <c r="X552" s="688"/>
      <c r="Y552" s="688"/>
      <c r="Z552" s="55"/>
      <c r="AA552" s="54"/>
      <c r="AC552" s="687" t="s">
        <v>45</v>
      </c>
      <c r="AD552" s="688"/>
      <c r="AE552" s="688"/>
      <c r="AF552" s="688"/>
      <c r="AG552" s="55"/>
      <c r="AH552" s="54"/>
      <c r="AJ552" s="687" t="s">
        <v>45</v>
      </c>
      <c r="AK552" s="688"/>
      <c r="AL552" s="688"/>
      <c r="AM552" s="688"/>
      <c r="AN552" s="55"/>
      <c r="AO552" s="54"/>
    </row>
    <row r="553" spans="1:41" ht="15" customHeight="1" thickBot="1">
      <c r="A553" s="687" t="s">
        <v>46</v>
      </c>
      <c r="B553" s="688"/>
      <c r="C553" s="688"/>
      <c r="D553" s="688"/>
      <c r="E553" s="689"/>
      <c r="F553" s="54"/>
      <c r="H553" s="687" t="s">
        <v>46</v>
      </c>
      <c r="I553" s="688"/>
      <c r="J553" s="688"/>
      <c r="K553" s="688"/>
      <c r="L553" s="689"/>
      <c r="M553" s="54"/>
      <c r="O553" s="687" t="s">
        <v>46</v>
      </c>
      <c r="P553" s="688"/>
      <c r="Q553" s="688"/>
      <c r="R553" s="688"/>
      <c r="S553" s="689"/>
      <c r="T553" s="54"/>
      <c r="V553" s="687" t="s">
        <v>46</v>
      </c>
      <c r="W553" s="688"/>
      <c r="X553" s="688"/>
      <c r="Y553" s="688"/>
      <c r="Z553" s="689"/>
      <c r="AA553" s="54"/>
      <c r="AC553" s="687" t="s">
        <v>46</v>
      </c>
      <c r="AD553" s="688"/>
      <c r="AE553" s="688"/>
      <c r="AF553" s="688"/>
      <c r="AG553" s="689"/>
      <c r="AH553" s="54"/>
      <c r="AJ553" s="687" t="s">
        <v>46</v>
      </c>
      <c r="AK553" s="688"/>
      <c r="AL553" s="688"/>
      <c r="AM553" s="688"/>
      <c r="AN553" s="689"/>
      <c r="AO553" s="54"/>
    </row>
    <row r="554" spans="1:41" ht="15" customHeight="1" thickBot="1">
      <c r="A554" s="687" t="s">
        <v>47</v>
      </c>
      <c r="B554" s="688"/>
      <c r="C554" s="688"/>
      <c r="D554" s="688"/>
      <c r="E554" s="56"/>
      <c r="F554" s="54"/>
      <c r="H554" s="687" t="s">
        <v>47</v>
      </c>
      <c r="I554" s="688"/>
      <c r="J554" s="688"/>
      <c r="K554" s="688"/>
      <c r="L554" s="56"/>
      <c r="M554" s="54"/>
      <c r="O554" s="687" t="s">
        <v>47</v>
      </c>
      <c r="P554" s="688"/>
      <c r="Q554" s="688"/>
      <c r="R554" s="688"/>
      <c r="S554" s="56"/>
      <c r="T554" s="54"/>
      <c r="V554" s="687" t="s">
        <v>47</v>
      </c>
      <c r="W554" s="688"/>
      <c r="X554" s="688"/>
      <c r="Y554" s="688"/>
      <c r="Z554" s="56"/>
      <c r="AA554" s="54"/>
      <c r="AC554" s="687" t="s">
        <v>47</v>
      </c>
      <c r="AD554" s="688"/>
      <c r="AE554" s="688"/>
      <c r="AF554" s="688"/>
      <c r="AG554" s="56"/>
      <c r="AH554" s="54"/>
      <c r="AJ554" s="687" t="s">
        <v>47</v>
      </c>
      <c r="AK554" s="688"/>
      <c r="AL554" s="688"/>
      <c r="AM554" s="688"/>
      <c r="AN554" s="56"/>
      <c r="AO554" s="54"/>
    </row>
    <row r="555" spans="1:41" ht="15" customHeight="1" thickBot="1">
      <c r="A555" s="687" t="s">
        <v>46</v>
      </c>
      <c r="B555" s="688"/>
      <c r="C555" s="688"/>
      <c r="D555" s="688"/>
      <c r="E555" s="689"/>
      <c r="F555" s="54"/>
      <c r="H555" s="687" t="s">
        <v>46</v>
      </c>
      <c r="I555" s="688"/>
      <c r="J555" s="688"/>
      <c r="K555" s="688"/>
      <c r="L555" s="689"/>
      <c r="M555" s="54"/>
      <c r="O555" s="687" t="s">
        <v>46</v>
      </c>
      <c r="P555" s="688"/>
      <c r="Q555" s="688"/>
      <c r="R555" s="688"/>
      <c r="S555" s="689"/>
      <c r="T555" s="54"/>
      <c r="V555" s="687" t="s">
        <v>46</v>
      </c>
      <c r="W555" s="688"/>
      <c r="X555" s="688"/>
      <c r="Y555" s="688"/>
      <c r="Z555" s="689"/>
      <c r="AA555" s="54"/>
      <c r="AC555" s="687" t="s">
        <v>46</v>
      </c>
      <c r="AD555" s="688"/>
      <c r="AE555" s="688"/>
      <c r="AF555" s="688"/>
      <c r="AG555" s="689"/>
      <c r="AH555" s="54"/>
      <c r="AJ555" s="687" t="s">
        <v>46</v>
      </c>
      <c r="AK555" s="688"/>
      <c r="AL555" s="688"/>
      <c r="AM555" s="688"/>
      <c r="AN555" s="689"/>
      <c r="AO555" s="54"/>
    </row>
    <row r="556" spans="1:41" ht="15" customHeight="1" thickBot="1">
      <c r="A556" s="687" t="s">
        <v>48</v>
      </c>
      <c r="B556" s="688"/>
      <c r="C556" s="688"/>
      <c r="D556" s="688"/>
      <c r="E556" s="55"/>
      <c r="F556" s="54"/>
      <c r="H556" s="687" t="s">
        <v>48</v>
      </c>
      <c r="I556" s="688"/>
      <c r="J556" s="688"/>
      <c r="K556" s="688"/>
      <c r="L556" s="55"/>
      <c r="M556" s="54"/>
      <c r="O556" s="687" t="s">
        <v>48</v>
      </c>
      <c r="P556" s="688"/>
      <c r="Q556" s="688"/>
      <c r="R556" s="688"/>
      <c r="S556" s="55"/>
      <c r="T556" s="54"/>
      <c r="V556" s="687" t="s">
        <v>48</v>
      </c>
      <c r="W556" s="688"/>
      <c r="X556" s="688"/>
      <c r="Y556" s="688"/>
      <c r="Z556" s="55"/>
      <c r="AA556" s="54"/>
      <c r="AC556" s="687" t="s">
        <v>48</v>
      </c>
      <c r="AD556" s="688"/>
      <c r="AE556" s="688"/>
      <c r="AF556" s="688"/>
      <c r="AG556" s="55"/>
      <c r="AH556" s="54"/>
      <c r="AJ556" s="687" t="s">
        <v>48</v>
      </c>
      <c r="AK556" s="688"/>
      <c r="AL556" s="688"/>
      <c r="AM556" s="688"/>
      <c r="AN556" s="55"/>
      <c r="AO556" s="54"/>
    </row>
    <row r="557" spans="1:41" ht="15" customHeight="1" thickBot="1">
      <c r="A557" s="687" t="s">
        <v>46</v>
      </c>
      <c r="B557" s="688"/>
      <c r="C557" s="688"/>
      <c r="D557" s="688"/>
      <c r="E557" s="689"/>
      <c r="F557" s="54"/>
      <c r="H557" s="687" t="s">
        <v>46</v>
      </c>
      <c r="I557" s="688"/>
      <c r="J557" s="688"/>
      <c r="K557" s="688"/>
      <c r="L557" s="689"/>
      <c r="M557" s="54"/>
      <c r="O557" s="687" t="s">
        <v>46</v>
      </c>
      <c r="P557" s="688"/>
      <c r="Q557" s="688"/>
      <c r="R557" s="688"/>
      <c r="S557" s="689"/>
      <c r="T557" s="54"/>
      <c r="V557" s="687" t="s">
        <v>46</v>
      </c>
      <c r="W557" s="688"/>
      <c r="X557" s="688"/>
      <c r="Y557" s="688"/>
      <c r="Z557" s="689"/>
      <c r="AA557" s="54"/>
      <c r="AC557" s="687" t="s">
        <v>46</v>
      </c>
      <c r="AD557" s="688"/>
      <c r="AE557" s="688"/>
      <c r="AF557" s="688"/>
      <c r="AG557" s="689"/>
      <c r="AH557" s="54"/>
      <c r="AJ557" s="687" t="s">
        <v>46</v>
      </c>
      <c r="AK557" s="688"/>
      <c r="AL557" s="688"/>
      <c r="AM557" s="688"/>
      <c r="AN557" s="689"/>
      <c r="AO557" s="54"/>
    </row>
    <row r="558" spans="1:41" ht="15" customHeight="1" thickBot="1">
      <c r="A558" s="687" t="s">
        <v>49</v>
      </c>
      <c r="B558" s="688"/>
      <c r="C558" s="688"/>
      <c r="D558" s="688"/>
      <c r="E558" s="56"/>
      <c r="F558" s="54"/>
      <c r="H558" s="687" t="s">
        <v>49</v>
      </c>
      <c r="I558" s="688"/>
      <c r="J558" s="688"/>
      <c r="K558" s="688"/>
      <c r="L558" s="56"/>
      <c r="M558" s="54"/>
      <c r="O558" s="687" t="s">
        <v>49</v>
      </c>
      <c r="P558" s="688"/>
      <c r="Q558" s="688"/>
      <c r="R558" s="688"/>
      <c r="S558" s="56"/>
      <c r="T558" s="54"/>
      <c r="V558" s="687" t="s">
        <v>49</v>
      </c>
      <c r="W558" s="688"/>
      <c r="X558" s="688"/>
      <c r="Y558" s="688"/>
      <c r="Z558" s="56"/>
      <c r="AA558" s="54"/>
      <c r="AC558" s="687" t="s">
        <v>49</v>
      </c>
      <c r="AD558" s="688"/>
      <c r="AE558" s="688"/>
      <c r="AF558" s="688"/>
      <c r="AG558" s="56"/>
      <c r="AH558" s="54"/>
      <c r="AJ558" s="687" t="s">
        <v>49</v>
      </c>
      <c r="AK558" s="688"/>
      <c r="AL558" s="688"/>
      <c r="AM558" s="688"/>
      <c r="AN558" s="56"/>
      <c r="AO558" s="54"/>
    </row>
    <row r="559" spans="1:41" ht="15" customHeight="1" thickBot="1">
      <c r="A559" s="690" t="s">
        <v>50</v>
      </c>
      <c r="B559" s="691"/>
      <c r="C559" s="691"/>
      <c r="D559" s="691"/>
      <c r="E559" s="692"/>
      <c r="F559" s="57"/>
      <c r="H559" s="690" t="s">
        <v>50</v>
      </c>
      <c r="I559" s="691"/>
      <c r="J559" s="691"/>
      <c r="K559" s="691"/>
      <c r="L559" s="692"/>
      <c r="M559" s="57"/>
      <c r="O559" s="690" t="s">
        <v>50</v>
      </c>
      <c r="P559" s="691"/>
      <c r="Q559" s="691"/>
      <c r="R559" s="691"/>
      <c r="S559" s="692"/>
      <c r="T559" s="57"/>
      <c r="V559" s="690" t="s">
        <v>50</v>
      </c>
      <c r="W559" s="691"/>
      <c r="X559" s="691"/>
      <c r="Y559" s="691"/>
      <c r="Z559" s="692"/>
      <c r="AA559" s="57"/>
      <c r="AC559" s="690" t="s">
        <v>50</v>
      </c>
      <c r="AD559" s="691"/>
      <c r="AE559" s="691"/>
      <c r="AF559" s="691"/>
      <c r="AG559" s="692"/>
      <c r="AH559" s="57"/>
      <c r="AJ559" s="690" t="s">
        <v>50</v>
      </c>
      <c r="AK559" s="691"/>
      <c r="AL559" s="691"/>
      <c r="AM559" s="691"/>
      <c r="AN559" s="692"/>
      <c r="AO559" s="57"/>
    </row>
    <row r="560" spans="1:41" ht="15" customHeight="1" thickBot="1">
      <c r="A560" s="693" t="s">
        <v>1444</v>
      </c>
      <c r="B560" s="694"/>
      <c r="C560" s="694"/>
      <c r="D560" s="694"/>
      <c r="E560" s="694"/>
      <c r="F560" s="695"/>
      <c r="H560" s="693" t="s">
        <v>1445</v>
      </c>
      <c r="I560" s="694"/>
      <c r="J560" s="694"/>
      <c r="K560" s="694"/>
      <c r="L560" s="694"/>
      <c r="M560" s="695"/>
      <c r="O560" s="693" t="s">
        <v>1446</v>
      </c>
      <c r="P560" s="694"/>
      <c r="Q560" s="694"/>
      <c r="R560" s="694"/>
      <c r="S560" s="694"/>
      <c r="T560" s="695"/>
      <c r="V560" s="693" t="s">
        <v>1447</v>
      </c>
      <c r="W560" s="694"/>
      <c r="X560" s="694"/>
      <c r="Y560" s="694"/>
      <c r="Z560" s="694"/>
      <c r="AA560" s="695"/>
      <c r="AC560" s="693" t="s">
        <v>1448</v>
      </c>
      <c r="AD560" s="694"/>
      <c r="AE560" s="694"/>
      <c r="AF560" s="694"/>
      <c r="AG560" s="694"/>
      <c r="AH560" s="695"/>
      <c r="AJ560" s="693" t="s">
        <v>1449</v>
      </c>
      <c r="AK560" s="694"/>
      <c r="AL560" s="694"/>
      <c r="AM560" s="694"/>
      <c r="AN560" s="694"/>
      <c r="AO560" s="695"/>
    </row>
    <row r="561" spans="1:48" ht="15" customHeight="1" thickBot="1"/>
    <row r="562" spans="1:48" ht="26.4" thickBot="1">
      <c r="A562" s="696" t="s">
        <v>0</v>
      </c>
      <c r="B562" s="697"/>
      <c r="C562" s="697"/>
      <c r="D562" s="697"/>
      <c r="E562" s="697"/>
      <c r="F562" s="698"/>
      <c r="H562" s="696" t="s">
        <v>0</v>
      </c>
      <c r="I562" s="697"/>
      <c r="J562" s="697"/>
      <c r="K562" s="697"/>
      <c r="L562" s="697"/>
      <c r="M562" s="698"/>
      <c r="O562" s="696" t="s">
        <v>0</v>
      </c>
      <c r="P562" s="697"/>
      <c r="Q562" s="697"/>
      <c r="R562" s="697"/>
      <c r="S562" s="697"/>
      <c r="T562" s="698"/>
      <c r="V562" s="696" t="s">
        <v>0</v>
      </c>
      <c r="W562" s="697"/>
      <c r="X562" s="697"/>
      <c r="Y562" s="697"/>
      <c r="Z562" s="697"/>
      <c r="AA562" s="698"/>
      <c r="AC562" s="696" t="s">
        <v>0</v>
      </c>
      <c r="AD562" s="697"/>
      <c r="AE562" s="697"/>
      <c r="AF562" s="697"/>
      <c r="AG562" s="697"/>
      <c r="AH562" s="698"/>
      <c r="AJ562" s="696" t="s">
        <v>0</v>
      </c>
      <c r="AK562" s="697"/>
      <c r="AL562" s="697"/>
      <c r="AM562" s="697"/>
      <c r="AN562" s="697"/>
      <c r="AO562" s="698"/>
      <c r="AQ562" s="696" t="s">
        <v>0</v>
      </c>
      <c r="AR562" s="697"/>
      <c r="AS562" s="697"/>
      <c r="AT562" s="697"/>
      <c r="AU562" s="697"/>
      <c r="AV562" s="698"/>
    </row>
    <row r="563" spans="1:48" ht="15" customHeight="1" thickBot="1">
      <c r="A563" s="3" t="s">
        <v>1</v>
      </c>
      <c r="B563" s="693" t="s">
        <v>2</v>
      </c>
      <c r="C563" s="694"/>
      <c r="D563" s="694"/>
      <c r="E563" s="695"/>
      <c r="F563" s="3" t="s">
        <v>3</v>
      </c>
      <c r="H563" s="3" t="s">
        <v>1</v>
      </c>
      <c r="I563" s="693" t="s">
        <v>2</v>
      </c>
      <c r="J563" s="694"/>
      <c r="K563" s="694"/>
      <c r="L563" s="695"/>
      <c r="M563" s="3" t="s">
        <v>3</v>
      </c>
      <c r="O563" s="3" t="s">
        <v>1</v>
      </c>
      <c r="P563" s="693" t="s">
        <v>2</v>
      </c>
      <c r="Q563" s="694"/>
      <c r="R563" s="694"/>
      <c r="S563" s="695"/>
      <c r="T563" s="3" t="s">
        <v>3</v>
      </c>
      <c r="V563" s="3" t="s">
        <v>1</v>
      </c>
      <c r="W563" s="693" t="s">
        <v>2</v>
      </c>
      <c r="X563" s="694"/>
      <c r="Y563" s="694"/>
      <c r="Z563" s="695"/>
      <c r="AA563" s="3" t="s">
        <v>3</v>
      </c>
      <c r="AC563" s="3" t="s">
        <v>1</v>
      </c>
      <c r="AD563" s="693" t="s">
        <v>2</v>
      </c>
      <c r="AE563" s="694"/>
      <c r="AF563" s="694"/>
      <c r="AG563" s="695"/>
      <c r="AH563" s="3" t="s">
        <v>3</v>
      </c>
      <c r="AJ563" s="3" t="s">
        <v>1</v>
      </c>
      <c r="AK563" s="693" t="s">
        <v>2</v>
      </c>
      <c r="AL563" s="694"/>
      <c r="AM563" s="694"/>
      <c r="AN563" s="695"/>
      <c r="AO563" s="3" t="s">
        <v>3</v>
      </c>
      <c r="AQ563" s="3" t="s">
        <v>1</v>
      </c>
      <c r="AR563" s="693" t="s">
        <v>2</v>
      </c>
      <c r="AS563" s="694"/>
      <c r="AT563" s="694"/>
      <c r="AU563" s="695"/>
      <c r="AV563" s="3" t="s">
        <v>3</v>
      </c>
    </row>
    <row r="564" spans="1:48" ht="99.6" customHeight="1" thickBot="1">
      <c r="A564" s="5" t="s">
        <v>1048</v>
      </c>
      <c r="B564" s="743" t="s">
        <v>1163</v>
      </c>
      <c r="C564" s="744"/>
      <c r="D564" s="744"/>
      <c r="E564" s="745"/>
      <c r="F564" s="5" t="s">
        <v>64</v>
      </c>
      <c r="H564" s="5" t="s">
        <v>1067</v>
      </c>
      <c r="I564" s="743" t="s">
        <v>1164</v>
      </c>
      <c r="J564" s="744"/>
      <c r="K564" s="744"/>
      <c r="L564" s="745"/>
      <c r="M564" s="5" t="s">
        <v>64</v>
      </c>
      <c r="O564" s="5" t="s">
        <v>1170</v>
      </c>
      <c r="P564" s="743" t="s">
        <v>1165</v>
      </c>
      <c r="Q564" s="744"/>
      <c r="R564" s="744"/>
      <c r="S564" s="745"/>
      <c r="T564" s="5" t="s">
        <v>64</v>
      </c>
      <c r="V564" s="5" t="s">
        <v>1169</v>
      </c>
      <c r="W564" s="743" t="s">
        <v>1166</v>
      </c>
      <c r="X564" s="744"/>
      <c r="Y564" s="744"/>
      <c r="Z564" s="745"/>
      <c r="AA564" s="5" t="s">
        <v>64</v>
      </c>
      <c r="AC564" s="5" t="s">
        <v>1168</v>
      </c>
      <c r="AD564" s="743" t="s">
        <v>1167</v>
      </c>
      <c r="AE564" s="744"/>
      <c r="AF564" s="744"/>
      <c r="AG564" s="745"/>
      <c r="AH564" s="5" t="s">
        <v>64</v>
      </c>
      <c r="AJ564" s="5" t="s">
        <v>1173</v>
      </c>
      <c r="AK564" s="743" t="s">
        <v>1172</v>
      </c>
      <c r="AL564" s="744"/>
      <c r="AM564" s="744"/>
      <c r="AN564" s="745"/>
      <c r="AO564" s="5" t="s">
        <v>64</v>
      </c>
      <c r="AQ564" s="5" t="s">
        <v>1317</v>
      </c>
      <c r="AR564" s="743" t="s">
        <v>1318</v>
      </c>
      <c r="AS564" s="744"/>
      <c r="AT564" s="744"/>
      <c r="AU564" s="745"/>
      <c r="AV564" s="5" t="s">
        <v>64</v>
      </c>
    </row>
    <row r="565" spans="1:48" ht="15" customHeight="1" thickBot="1">
      <c r="A565" s="705" t="s">
        <v>8</v>
      </c>
      <c r="B565" s="706"/>
      <c r="C565" s="706"/>
      <c r="D565" s="706"/>
      <c r="E565" s="706"/>
      <c r="F565" s="707"/>
      <c r="H565" s="705" t="s">
        <v>8</v>
      </c>
      <c r="I565" s="706"/>
      <c r="J565" s="706"/>
      <c r="K565" s="706"/>
      <c r="L565" s="706"/>
      <c r="M565" s="707"/>
      <c r="O565" s="705" t="s">
        <v>8</v>
      </c>
      <c r="P565" s="706"/>
      <c r="Q565" s="706"/>
      <c r="R565" s="706"/>
      <c r="S565" s="706"/>
      <c r="T565" s="707"/>
      <c r="V565" s="705" t="s">
        <v>8</v>
      </c>
      <c r="W565" s="706"/>
      <c r="X565" s="706"/>
      <c r="Y565" s="706"/>
      <c r="Z565" s="706"/>
      <c r="AA565" s="707"/>
      <c r="AC565" s="705" t="s">
        <v>8</v>
      </c>
      <c r="AD565" s="706"/>
      <c r="AE565" s="706"/>
      <c r="AF565" s="706"/>
      <c r="AG565" s="706"/>
      <c r="AH565" s="707"/>
      <c r="AJ565" s="705" t="s">
        <v>8</v>
      </c>
      <c r="AK565" s="706"/>
      <c r="AL565" s="706"/>
      <c r="AM565" s="706"/>
      <c r="AN565" s="706"/>
      <c r="AO565" s="707"/>
      <c r="AQ565" s="705" t="s">
        <v>8</v>
      </c>
      <c r="AR565" s="706"/>
      <c r="AS565" s="706"/>
      <c r="AT565" s="706"/>
      <c r="AU565" s="706"/>
      <c r="AV565" s="707"/>
    </row>
    <row r="566" spans="1:48" ht="15" customHeight="1" thickBot="1">
      <c r="A566" s="8" t="s">
        <v>1</v>
      </c>
      <c r="B566" s="5" t="s">
        <v>2</v>
      </c>
      <c r="C566" s="8" t="s">
        <v>3</v>
      </c>
      <c r="D566" s="8" t="s">
        <v>9</v>
      </c>
      <c r="E566" s="8" t="s">
        <v>10</v>
      </c>
      <c r="F566" s="8" t="s">
        <v>11</v>
      </c>
      <c r="H566" s="8" t="s">
        <v>1</v>
      </c>
      <c r="I566" s="5" t="s">
        <v>2</v>
      </c>
      <c r="J566" s="8" t="s">
        <v>3</v>
      </c>
      <c r="K566" s="8" t="s">
        <v>9</v>
      </c>
      <c r="L566" s="8" t="s">
        <v>10</v>
      </c>
      <c r="M566" s="8" t="s">
        <v>11</v>
      </c>
      <c r="O566" s="8" t="s">
        <v>1</v>
      </c>
      <c r="P566" s="5" t="s">
        <v>2</v>
      </c>
      <c r="Q566" s="8" t="s">
        <v>3</v>
      </c>
      <c r="R566" s="8" t="s">
        <v>9</v>
      </c>
      <c r="S566" s="8" t="s">
        <v>10</v>
      </c>
      <c r="T566" s="8" t="s">
        <v>11</v>
      </c>
      <c r="V566" s="8" t="s">
        <v>1</v>
      </c>
      <c r="W566" s="5" t="s">
        <v>2</v>
      </c>
      <c r="X566" s="8" t="s">
        <v>3</v>
      </c>
      <c r="Y566" s="8" t="s">
        <v>9</v>
      </c>
      <c r="Z566" s="8" t="s">
        <v>10</v>
      </c>
      <c r="AA566" s="8" t="s">
        <v>11</v>
      </c>
      <c r="AC566" s="8" t="s">
        <v>1</v>
      </c>
      <c r="AD566" s="5" t="s">
        <v>2</v>
      </c>
      <c r="AE566" s="8" t="s">
        <v>3</v>
      </c>
      <c r="AF566" s="8" t="s">
        <v>9</v>
      </c>
      <c r="AG566" s="8" t="s">
        <v>10</v>
      </c>
      <c r="AH566" s="8" t="s">
        <v>11</v>
      </c>
      <c r="AJ566" s="8" t="s">
        <v>1</v>
      </c>
      <c r="AK566" s="5" t="s">
        <v>2</v>
      </c>
      <c r="AL566" s="8" t="s">
        <v>3</v>
      </c>
      <c r="AM566" s="8" t="s">
        <v>9</v>
      </c>
      <c r="AN566" s="8" t="s">
        <v>10</v>
      </c>
      <c r="AO566" s="8" t="s">
        <v>11</v>
      </c>
      <c r="AQ566" s="8" t="s">
        <v>1</v>
      </c>
      <c r="AR566" s="5" t="s">
        <v>2</v>
      </c>
      <c r="AS566" s="8" t="s">
        <v>3</v>
      </c>
      <c r="AT566" s="8" t="s">
        <v>9</v>
      </c>
      <c r="AU566" s="8" t="s">
        <v>10</v>
      </c>
      <c r="AV566" s="8" t="s">
        <v>11</v>
      </c>
    </row>
    <row r="567" spans="1:48" ht="15" customHeight="1">
      <c r="A567" s="463" t="s">
        <v>725</v>
      </c>
      <c r="B567" s="459" t="s">
        <v>1054</v>
      </c>
      <c r="C567" s="9" t="s">
        <v>833</v>
      </c>
      <c r="D567" s="11">
        <f>(0.28)*1.05</f>
        <v>0.29400000000000004</v>
      </c>
      <c r="E567" s="12">
        <f>MATERIALES!E176</f>
        <v>54.69</v>
      </c>
      <c r="F567" s="13">
        <f t="shared" ref="F567:F570" si="19">D567*E567</f>
        <v>16.078860000000002</v>
      </c>
      <c r="H567" s="463" t="s">
        <v>674</v>
      </c>
      <c r="I567" s="459" t="s">
        <v>1074</v>
      </c>
      <c r="J567" s="9" t="s">
        <v>833</v>
      </c>
      <c r="K567" s="11">
        <f>(0.3)*1.05</f>
        <v>0.315</v>
      </c>
      <c r="L567" s="12">
        <f>MATERIALES!E154</f>
        <v>33.020000000000003</v>
      </c>
      <c r="M567" s="13">
        <f t="shared" ref="M567:M569" si="20">K567*L567</f>
        <v>10.401300000000001</v>
      </c>
      <c r="O567" s="463" t="s">
        <v>725</v>
      </c>
      <c r="P567" s="459" t="s">
        <v>1054</v>
      </c>
      <c r="Q567" s="9" t="s">
        <v>833</v>
      </c>
      <c r="R567" s="11">
        <f>(1.75)*1.05</f>
        <v>1.8375000000000001</v>
      </c>
      <c r="S567" s="12">
        <f>MATERIALES!E176</f>
        <v>54.69</v>
      </c>
      <c r="T567" s="13">
        <f t="shared" ref="T567:T569" si="21">R567*S567</f>
        <v>100.492875</v>
      </c>
      <c r="V567" s="463" t="s">
        <v>725</v>
      </c>
      <c r="W567" s="459" t="s">
        <v>1054</v>
      </c>
      <c r="X567" s="9" t="s">
        <v>833</v>
      </c>
      <c r="Y567" s="11">
        <f>(1.2+0.8)*1.05</f>
        <v>2.1</v>
      </c>
      <c r="Z567" s="12">
        <f>MATERIALES!E176</f>
        <v>54.69</v>
      </c>
      <c r="AA567" s="13">
        <f t="shared" ref="AA567:AA570" si="22">Y567*Z567</f>
        <v>114.849</v>
      </c>
      <c r="AC567" s="463" t="s">
        <v>725</v>
      </c>
      <c r="AD567" s="459" t="s">
        <v>1054</v>
      </c>
      <c r="AE567" s="9" t="s">
        <v>833</v>
      </c>
      <c r="AF567" s="11">
        <f>(1.08+1.1)*1.05</f>
        <v>2.2890000000000001</v>
      </c>
      <c r="AG567" s="12">
        <f>MATERIALES!E176</f>
        <v>54.69</v>
      </c>
      <c r="AH567" s="13">
        <f t="shared" ref="AH567:AH570" si="23">AF567*AG567</f>
        <v>125.18541</v>
      </c>
      <c r="AJ567" s="463" t="s">
        <v>674</v>
      </c>
      <c r="AK567" s="459" t="s">
        <v>1074</v>
      </c>
      <c r="AL567" s="9" t="s">
        <v>833</v>
      </c>
      <c r="AM567" s="11">
        <f>(0.9)*1.05</f>
        <v>0.94500000000000006</v>
      </c>
      <c r="AN567" s="12">
        <f>MATERIALES!E154</f>
        <v>33.020000000000003</v>
      </c>
      <c r="AO567" s="13">
        <f t="shared" ref="AO567:AO569" si="24">AM567*AN567</f>
        <v>31.203900000000004</v>
      </c>
      <c r="AQ567" s="463" t="s">
        <v>725</v>
      </c>
      <c r="AR567" s="459" t="s">
        <v>1054</v>
      </c>
      <c r="AS567" s="9" t="s">
        <v>833</v>
      </c>
      <c r="AT567" s="11">
        <f>(0.15+0.3)*1.05</f>
        <v>0.47249999999999998</v>
      </c>
      <c r="AU567" s="12">
        <f>MATERIALES!E176</f>
        <v>54.69</v>
      </c>
      <c r="AV567" s="13">
        <f t="shared" ref="AV567:AV571" si="25">AT567*AU567</f>
        <v>25.841024999999998</v>
      </c>
    </row>
    <row r="568" spans="1:48" ht="15" customHeight="1">
      <c r="A568" s="466" t="s">
        <v>425</v>
      </c>
      <c r="B568" s="460" t="s">
        <v>1055</v>
      </c>
      <c r="C568" s="16" t="s">
        <v>64</v>
      </c>
      <c r="D568" s="18">
        <f>OPERACIONES!C38</f>
        <v>3.125E-2</v>
      </c>
      <c r="E568" s="20">
        <f>MATERIALES!E52</f>
        <v>103.79</v>
      </c>
      <c r="F568" s="20">
        <f t="shared" si="19"/>
        <v>3.2434375000000002</v>
      </c>
      <c r="H568" s="466" t="s">
        <v>425</v>
      </c>
      <c r="I568" s="460" t="s">
        <v>1055</v>
      </c>
      <c r="J568" s="16" t="s">
        <v>64</v>
      </c>
      <c r="K568" s="18">
        <f>OPERACIONES!G38</f>
        <v>3.125E-2</v>
      </c>
      <c r="L568" s="20">
        <f>MATERIALES!E52</f>
        <v>103.79</v>
      </c>
      <c r="M568" s="20">
        <f t="shared" si="20"/>
        <v>3.2434375000000002</v>
      </c>
      <c r="O568" s="466" t="s">
        <v>425</v>
      </c>
      <c r="P568" s="460" t="s">
        <v>1055</v>
      </c>
      <c r="Q568" s="16" t="s">
        <v>64</v>
      </c>
      <c r="R568" s="18">
        <f>OPERACIONES!K38</f>
        <v>3.125E-2</v>
      </c>
      <c r="S568" s="20">
        <f>MATERIALES!E52</f>
        <v>103.79</v>
      </c>
      <c r="T568" s="20">
        <f t="shared" si="21"/>
        <v>3.2434375000000002</v>
      </c>
      <c r="V568" s="466" t="s">
        <v>425</v>
      </c>
      <c r="W568" s="460" t="s">
        <v>1055</v>
      </c>
      <c r="X568" s="16" t="s">
        <v>64</v>
      </c>
      <c r="Y568" s="18">
        <f>OPERACIONES!C41</f>
        <v>3.125E-2</v>
      </c>
      <c r="Z568" s="20">
        <f>MATERIALES!E52</f>
        <v>103.79</v>
      </c>
      <c r="AA568" s="20">
        <f t="shared" si="22"/>
        <v>3.2434375000000002</v>
      </c>
      <c r="AC568" s="466" t="s">
        <v>425</v>
      </c>
      <c r="AD568" s="460" t="s">
        <v>1055</v>
      </c>
      <c r="AE568" s="16" t="s">
        <v>64</v>
      </c>
      <c r="AF568" s="18">
        <f>OPERACIONES!G41</f>
        <v>3.125E-2</v>
      </c>
      <c r="AG568" s="20">
        <f>MATERIALES!E52</f>
        <v>103.79</v>
      </c>
      <c r="AH568" s="20">
        <f t="shared" si="23"/>
        <v>3.2434375000000002</v>
      </c>
      <c r="AJ568" s="466" t="s">
        <v>425</v>
      </c>
      <c r="AK568" s="460" t="s">
        <v>1055</v>
      </c>
      <c r="AL568" s="16" t="s">
        <v>64</v>
      </c>
      <c r="AM568" s="18">
        <f>OPERACIONES!K41</f>
        <v>3.125E-2</v>
      </c>
      <c r="AN568" s="20">
        <f>MATERIALES!E52</f>
        <v>103.79</v>
      </c>
      <c r="AO568" s="20">
        <f t="shared" si="24"/>
        <v>3.2434375000000002</v>
      </c>
      <c r="AQ568" s="466" t="s">
        <v>425</v>
      </c>
      <c r="AR568" s="460" t="s">
        <v>1055</v>
      </c>
      <c r="AS568" s="16" t="s">
        <v>64</v>
      </c>
      <c r="AT568" s="18">
        <f>OPERACIONES!O41</f>
        <v>9.375E-2</v>
      </c>
      <c r="AU568" s="20">
        <f>MATERIALES!E52</f>
        <v>103.79</v>
      </c>
      <c r="AV568" s="20">
        <f t="shared" si="25"/>
        <v>9.7303125000000001</v>
      </c>
    </row>
    <row r="569" spans="1:48" ht="15" customHeight="1">
      <c r="A569" s="466" t="s">
        <v>348</v>
      </c>
      <c r="B569" s="460" t="s">
        <v>1059</v>
      </c>
      <c r="C569" s="16" t="s">
        <v>64</v>
      </c>
      <c r="D569" s="18">
        <f>(1/100)*1.05</f>
        <v>1.0500000000000001E-2</v>
      </c>
      <c r="E569" s="20">
        <f>MATERIALES!E24</f>
        <v>89</v>
      </c>
      <c r="F569" s="20">
        <f t="shared" si="19"/>
        <v>0.93450000000000011</v>
      </c>
      <c r="H569" s="466" t="s">
        <v>348</v>
      </c>
      <c r="I569" s="460" t="s">
        <v>1059</v>
      </c>
      <c r="J569" s="16" t="s">
        <v>64</v>
      </c>
      <c r="K569" s="18">
        <f>(1/100)*1.05</f>
        <v>1.0500000000000001E-2</v>
      </c>
      <c r="L569" s="20">
        <f>MATERIALES!E24</f>
        <v>89</v>
      </c>
      <c r="M569" s="20">
        <f t="shared" si="20"/>
        <v>0.93450000000000011</v>
      </c>
      <c r="O569" s="466" t="s">
        <v>348</v>
      </c>
      <c r="P569" s="460" t="s">
        <v>1059</v>
      </c>
      <c r="Q569" s="16" t="s">
        <v>64</v>
      </c>
      <c r="R569" s="18">
        <f>(1/100)*1.05</f>
        <v>1.0500000000000001E-2</v>
      </c>
      <c r="S569" s="20">
        <f>MATERIALES!E24</f>
        <v>89</v>
      </c>
      <c r="T569" s="20">
        <f t="shared" si="21"/>
        <v>0.93450000000000011</v>
      </c>
      <c r="V569" s="466" t="s">
        <v>348</v>
      </c>
      <c r="W569" s="460" t="s">
        <v>1059</v>
      </c>
      <c r="X569" s="16" t="s">
        <v>64</v>
      </c>
      <c r="Y569" s="18">
        <f>(1/100)*1.05</f>
        <v>1.0500000000000001E-2</v>
      </c>
      <c r="Z569" s="20">
        <f>MATERIALES!E24</f>
        <v>89</v>
      </c>
      <c r="AA569" s="20">
        <f t="shared" si="22"/>
        <v>0.93450000000000011</v>
      </c>
      <c r="AC569" s="466" t="s">
        <v>348</v>
      </c>
      <c r="AD569" s="460" t="s">
        <v>1059</v>
      </c>
      <c r="AE569" s="16" t="s">
        <v>64</v>
      </c>
      <c r="AF569" s="18">
        <f>(1/100)*1.05</f>
        <v>1.0500000000000001E-2</v>
      </c>
      <c r="AG569" s="20">
        <f>MATERIALES!E24</f>
        <v>89</v>
      </c>
      <c r="AH569" s="20">
        <f t="shared" si="23"/>
        <v>0.93450000000000011</v>
      </c>
      <c r="AJ569" s="466" t="s">
        <v>348</v>
      </c>
      <c r="AK569" s="460" t="s">
        <v>1059</v>
      </c>
      <c r="AL569" s="16" t="s">
        <v>64</v>
      </c>
      <c r="AM569" s="18">
        <f>(1/100)*1.05</f>
        <v>1.0500000000000001E-2</v>
      </c>
      <c r="AN569" s="20">
        <f>MATERIALES!E24</f>
        <v>89</v>
      </c>
      <c r="AO569" s="20">
        <f t="shared" si="24"/>
        <v>0.93450000000000011</v>
      </c>
      <c r="AQ569" s="466" t="s">
        <v>348</v>
      </c>
      <c r="AR569" s="460" t="s">
        <v>1059</v>
      </c>
      <c r="AS569" s="16" t="s">
        <v>64</v>
      </c>
      <c r="AT569" s="18">
        <f>(1/100)*1.05</f>
        <v>1.0500000000000001E-2</v>
      </c>
      <c r="AU569" s="20">
        <f>MATERIALES!E24</f>
        <v>89</v>
      </c>
      <c r="AV569" s="20">
        <f t="shared" si="25"/>
        <v>0.93450000000000011</v>
      </c>
    </row>
    <row r="570" spans="1:48" ht="15" customHeight="1">
      <c r="A570" s="462" t="s">
        <v>1077</v>
      </c>
      <c r="B570" s="461" t="s">
        <v>1075</v>
      </c>
      <c r="C570" s="21" t="s">
        <v>64</v>
      </c>
      <c r="D570" s="496">
        <f>1*1.05</f>
        <v>1.05</v>
      </c>
      <c r="E570" s="20">
        <f>MATERIALES!E203</f>
        <v>11.21</v>
      </c>
      <c r="F570" s="20">
        <f t="shared" si="19"/>
        <v>11.770500000000002</v>
      </c>
      <c r="H570" s="462" t="s">
        <v>1073</v>
      </c>
      <c r="I570" s="461" t="s">
        <v>1171</v>
      </c>
      <c r="J570" s="21" t="s">
        <v>64</v>
      </c>
      <c r="K570" s="490">
        <f>1*1.05</f>
        <v>1.05</v>
      </c>
      <c r="L570" s="20">
        <f>MATERIALES!E204</f>
        <v>17.239999999999998</v>
      </c>
      <c r="M570" s="20"/>
      <c r="O570" s="462"/>
      <c r="P570" s="461"/>
      <c r="Q570" s="21"/>
      <c r="R570" s="490"/>
      <c r="S570" s="20"/>
      <c r="T570" s="20"/>
      <c r="V570" s="462" t="s">
        <v>557</v>
      </c>
      <c r="W570" s="461" t="s">
        <v>1056</v>
      </c>
      <c r="X570" s="21" t="s">
        <v>64</v>
      </c>
      <c r="Y570" s="490">
        <f>1*1.05</f>
        <v>1.05</v>
      </c>
      <c r="Z570" s="20">
        <f>MATERIALES!Z388</f>
        <v>0</v>
      </c>
      <c r="AA570" s="20">
        <f t="shared" si="22"/>
        <v>0</v>
      </c>
      <c r="AC570" s="462" t="s">
        <v>557</v>
      </c>
      <c r="AD570" s="461" t="s">
        <v>1056</v>
      </c>
      <c r="AE570" s="21" t="s">
        <v>64</v>
      </c>
      <c r="AF570" s="490">
        <f>1*1.05</f>
        <v>1.05</v>
      </c>
      <c r="AG570" s="20">
        <f>MATERIALES!AG388</f>
        <v>0</v>
      </c>
      <c r="AH570" s="20">
        <f t="shared" si="23"/>
        <v>0</v>
      </c>
      <c r="AJ570" s="462"/>
      <c r="AK570" s="461"/>
      <c r="AL570" s="21"/>
      <c r="AM570" s="490"/>
      <c r="AN570" s="20"/>
      <c r="AO570" s="20"/>
      <c r="AQ570" s="462" t="s">
        <v>562</v>
      </c>
      <c r="AR570" s="461" t="s">
        <v>1319</v>
      </c>
      <c r="AS570" s="21" t="s">
        <v>64</v>
      </c>
      <c r="AT570" s="490">
        <v>1</v>
      </c>
      <c r="AU570" s="20">
        <f>MATERIALES!E105</f>
        <v>119.83</v>
      </c>
      <c r="AV570" s="20">
        <f t="shared" si="25"/>
        <v>119.83</v>
      </c>
    </row>
    <row r="571" spans="1:48" ht="15" customHeight="1">
      <c r="A571" s="462"/>
      <c r="B571" s="461"/>
      <c r="C571" s="462"/>
      <c r="D571" s="21"/>
      <c r="E571" s="20"/>
      <c r="F571" s="20"/>
      <c r="H571" s="462"/>
      <c r="I571" s="461"/>
      <c r="J571" s="462"/>
      <c r="K571" s="21"/>
      <c r="L571" s="20"/>
      <c r="M571" s="20"/>
      <c r="O571" s="462"/>
      <c r="P571" s="461"/>
      <c r="Q571" s="462"/>
      <c r="R571" s="21"/>
      <c r="S571" s="20"/>
      <c r="T571" s="20"/>
      <c r="V571" s="462"/>
      <c r="W571" s="461"/>
      <c r="X571" s="462"/>
      <c r="Y571" s="21"/>
      <c r="Z571" s="20"/>
      <c r="AA571" s="20"/>
      <c r="AC571" s="462"/>
      <c r="AD571" s="461"/>
      <c r="AE571" s="462"/>
      <c r="AF571" s="21"/>
      <c r="AG571" s="20"/>
      <c r="AH571" s="20"/>
      <c r="AJ571" s="462"/>
      <c r="AK571" s="461"/>
      <c r="AL571" s="462"/>
      <c r="AM571" s="21"/>
      <c r="AN571" s="20"/>
      <c r="AO571" s="20"/>
      <c r="AQ571" s="462" t="s">
        <v>557</v>
      </c>
      <c r="AR571" s="461" t="s">
        <v>1056</v>
      </c>
      <c r="AS571" s="462" t="s">
        <v>64</v>
      </c>
      <c r="AT571" s="21">
        <f>(1*1.05)</f>
        <v>1.05</v>
      </c>
      <c r="AU571" s="20">
        <f>MATERIALES!E103</f>
        <v>3.01</v>
      </c>
      <c r="AV571" s="20">
        <f t="shared" si="25"/>
        <v>3.1604999999999999</v>
      </c>
    </row>
    <row r="572" spans="1:48" ht="15" customHeight="1">
      <c r="A572" s="462"/>
      <c r="B572" s="461"/>
      <c r="C572" s="462"/>
      <c r="D572" s="21"/>
      <c r="E572" s="20"/>
      <c r="F572" s="20"/>
      <c r="H572" s="462"/>
      <c r="I572" s="461"/>
      <c r="J572" s="462"/>
      <c r="K572" s="21"/>
      <c r="L572" s="20"/>
      <c r="M572" s="20"/>
      <c r="O572" s="462"/>
      <c r="P572" s="461"/>
      <c r="Q572" s="462"/>
      <c r="R572" s="21"/>
      <c r="S572" s="20"/>
      <c r="T572" s="20"/>
      <c r="V572" s="462"/>
      <c r="W572" s="461"/>
      <c r="X572" s="462"/>
      <c r="Y572" s="21"/>
      <c r="Z572" s="20"/>
      <c r="AA572" s="20"/>
      <c r="AC572" s="462"/>
      <c r="AD572" s="461"/>
      <c r="AE572" s="462"/>
      <c r="AF572" s="21"/>
      <c r="AG572" s="20"/>
      <c r="AH572" s="20"/>
      <c r="AJ572" s="462"/>
      <c r="AK572" s="461"/>
      <c r="AL572" s="462"/>
      <c r="AM572" s="21"/>
      <c r="AN572" s="20"/>
      <c r="AO572" s="20"/>
      <c r="AQ572" s="462"/>
      <c r="AR572" s="461"/>
      <c r="AS572" s="462"/>
      <c r="AT572" s="21"/>
      <c r="AU572" s="20"/>
      <c r="AV572" s="20"/>
    </row>
    <row r="573" spans="1:48" ht="15" customHeight="1" thickBot="1">
      <c r="A573" s="23"/>
      <c r="B573" s="24"/>
      <c r="C573" s="23"/>
      <c r="D573" s="23"/>
      <c r="E573" s="25"/>
      <c r="F573" s="25"/>
      <c r="H573" s="23"/>
      <c r="I573" s="24"/>
      <c r="J573" s="23"/>
      <c r="K573" s="23"/>
      <c r="L573" s="25"/>
      <c r="M573" s="25"/>
      <c r="O573" s="23"/>
      <c r="P573" s="24"/>
      <c r="Q573" s="23"/>
      <c r="R573" s="23"/>
      <c r="S573" s="25"/>
      <c r="T573" s="25"/>
      <c r="V573" s="23"/>
      <c r="W573" s="24"/>
      <c r="X573" s="23"/>
      <c r="Y573" s="23"/>
      <c r="Z573" s="25"/>
      <c r="AA573" s="25"/>
      <c r="AC573" s="23"/>
      <c r="AD573" s="24"/>
      <c r="AE573" s="23"/>
      <c r="AF573" s="23"/>
      <c r="AG573" s="25"/>
      <c r="AH573" s="25"/>
      <c r="AJ573" s="23"/>
      <c r="AK573" s="24"/>
      <c r="AL573" s="23"/>
      <c r="AM573" s="23"/>
      <c r="AN573" s="25"/>
      <c r="AO573" s="25"/>
      <c r="AQ573" s="23"/>
      <c r="AR573" s="24"/>
      <c r="AS573" s="23"/>
      <c r="AT573" s="23"/>
      <c r="AU573" s="25"/>
      <c r="AV573" s="25"/>
    </row>
    <row r="574" spans="1:48" ht="15" customHeight="1" thickBot="1">
      <c r="A574" s="708" t="s">
        <v>18</v>
      </c>
      <c r="B574" s="709"/>
      <c r="C574" s="709"/>
      <c r="D574" s="709"/>
      <c r="E574" s="710"/>
      <c r="F574" s="26">
        <f>SUM(F567:F573)</f>
        <v>32.027297500000003</v>
      </c>
      <c r="H574" s="708" t="s">
        <v>18</v>
      </c>
      <c r="I574" s="709"/>
      <c r="J574" s="709"/>
      <c r="K574" s="709"/>
      <c r="L574" s="710"/>
      <c r="M574" s="26">
        <f>SUM(M567:M573)</f>
        <v>14.579237500000001</v>
      </c>
      <c r="O574" s="708" t="s">
        <v>18</v>
      </c>
      <c r="P574" s="709"/>
      <c r="Q574" s="709"/>
      <c r="R574" s="709"/>
      <c r="S574" s="710"/>
      <c r="T574" s="26">
        <f>SUM(T567:T573)</f>
        <v>104.6708125</v>
      </c>
      <c r="V574" s="708" t="s">
        <v>18</v>
      </c>
      <c r="W574" s="709"/>
      <c r="X574" s="709"/>
      <c r="Y574" s="709"/>
      <c r="Z574" s="710"/>
      <c r="AA574" s="26">
        <f>SUM(AA567:AA573)</f>
        <v>119.0269375</v>
      </c>
      <c r="AC574" s="708" t="s">
        <v>18</v>
      </c>
      <c r="AD574" s="709"/>
      <c r="AE574" s="709"/>
      <c r="AF574" s="709"/>
      <c r="AG574" s="710"/>
      <c r="AH574" s="26">
        <f>SUM(AH567:AH573)</f>
        <v>129.36334750000003</v>
      </c>
      <c r="AJ574" s="708" t="s">
        <v>18</v>
      </c>
      <c r="AK574" s="709"/>
      <c r="AL574" s="709"/>
      <c r="AM574" s="709"/>
      <c r="AN574" s="710"/>
      <c r="AO574" s="26">
        <f>SUM(AO567:AO573)</f>
        <v>35.381837500000003</v>
      </c>
      <c r="AQ574" s="708" t="s">
        <v>18</v>
      </c>
      <c r="AR574" s="709"/>
      <c r="AS574" s="709"/>
      <c r="AT574" s="709"/>
      <c r="AU574" s="710"/>
      <c r="AV574" s="26">
        <f>SUM(AV567:AV573)</f>
        <v>159.49633750000001</v>
      </c>
    </row>
    <row r="575" spans="1:48" ht="15" customHeight="1" thickBot="1">
      <c r="A575" s="711" t="s">
        <v>19</v>
      </c>
      <c r="B575" s="712"/>
      <c r="C575" s="712"/>
      <c r="D575" s="712"/>
      <c r="E575" s="712"/>
      <c r="F575" s="713"/>
      <c r="H575" s="711" t="s">
        <v>19</v>
      </c>
      <c r="I575" s="712"/>
      <c r="J575" s="712"/>
      <c r="K575" s="712"/>
      <c r="L575" s="712"/>
      <c r="M575" s="713"/>
      <c r="O575" s="711" t="s">
        <v>19</v>
      </c>
      <c r="P575" s="712"/>
      <c r="Q575" s="712"/>
      <c r="R575" s="712"/>
      <c r="S575" s="712"/>
      <c r="T575" s="713"/>
      <c r="V575" s="711" t="s">
        <v>19</v>
      </c>
      <c r="W575" s="712"/>
      <c r="X575" s="712"/>
      <c r="Y575" s="712"/>
      <c r="Z575" s="712"/>
      <c r="AA575" s="713"/>
      <c r="AC575" s="711" t="s">
        <v>19</v>
      </c>
      <c r="AD575" s="712"/>
      <c r="AE575" s="712"/>
      <c r="AF575" s="712"/>
      <c r="AG575" s="712"/>
      <c r="AH575" s="713"/>
      <c r="AJ575" s="711" t="s">
        <v>19</v>
      </c>
      <c r="AK575" s="712"/>
      <c r="AL575" s="712"/>
      <c r="AM575" s="712"/>
      <c r="AN575" s="712"/>
      <c r="AO575" s="713"/>
      <c r="AQ575" s="711" t="s">
        <v>19</v>
      </c>
      <c r="AR575" s="712"/>
      <c r="AS575" s="712"/>
      <c r="AT575" s="712"/>
      <c r="AU575" s="712"/>
      <c r="AV575" s="713"/>
    </row>
    <row r="576" spans="1:48" ht="15" customHeight="1" thickBot="1">
      <c r="A576" s="8" t="s">
        <v>1</v>
      </c>
      <c r="B576" s="5" t="s">
        <v>2</v>
      </c>
      <c r="C576" s="8" t="s">
        <v>3</v>
      </c>
      <c r="D576" s="8" t="s">
        <v>9</v>
      </c>
      <c r="E576" s="8" t="s">
        <v>10</v>
      </c>
      <c r="F576" s="8" t="s">
        <v>11</v>
      </c>
      <c r="H576" s="8" t="s">
        <v>1</v>
      </c>
      <c r="I576" s="5" t="s">
        <v>2</v>
      </c>
      <c r="J576" s="8" t="s">
        <v>3</v>
      </c>
      <c r="K576" s="8" t="s">
        <v>9</v>
      </c>
      <c r="L576" s="8" t="s">
        <v>10</v>
      </c>
      <c r="M576" s="8" t="s">
        <v>11</v>
      </c>
      <c r="O576" s="8" t="s">
        <v>1</v>
      </c>
      <c r="P576" s="5" t="s">
        <v>2</v>
      </c>
      <c r="Q576" s="8" t="s">
        <v>3</v>
      </c>
      <c r="R576" s="8" t="s">
        <v>9</v>
      </c>
      <c r="S576" s="8" t="s">
        <v>10</v>
      </c>
      <c r="T576" s="8" t="s">
        <v>11</v>
      </c>
      <c r="V576" s="8" t="s">
        <v>1</v>
      </c>
      <c r="W576" s="5" t="s">
        <v>2</v>
      </c>
      <c r="X576" s="8" t="s">
        <v>3</v>
      </c>
      <c r="Y576" s="8" t="s">
        <v>9</v>
      </c>
      <c r="Z576" s="8" t="s">
        <v>10</v>
      </c>
      <c r="AA576" s="8" t="s">
        <v>11</v>
      </c>
      <c r="AC576" s="8" t="s">
        <v>1</v>
      </c>
      <c r="AD576" s="5" t="s">
        <v>2</v>
      </c>
      <c r="AE576" s="8" t="s">
        <v>3</v>
      </c>
      <c r="AF576" s="8" t="s">
        <v>9</v>
      </c>
      <c r="AG576" s="8" t="s">
        <v>10</v>
      </c>
      <c r="AH576" s="8" t="s">
        <v>11</v>
      </c>
      <c r="AJ576" s="8" t="s">
        <v>1</v>
      </c>
      <c r="AK576" s="5" t="s">
        <v>2</v>
      </c>
      <c r="AL576" s="8" t="s">
        <v>3</v>
      </c>
      <c r="AM576" s="8" t="s">
        <v>9</v>
      </c>
      <c r="AN576" s="8" t="s">
        <v>10</v>
      </c>
      <c r="AO576" s="8" t="s">
        <v>11</v>
      </c>
      <c r="AQ576" s="8" t="s">
        <v>1</v>
      </c>
      <c r="AR576" s="5" t="s">
        <v>2</v>
      </c>
      <c r="AS576" s="8" t="s">
        <v>3</v>
      </c>
      <c r="AT576" s="8" t="s">
        <v>9</v>
      </c>
      <c r="AU576" s="8" t="s">
        <v>10</v>
      </c>
      <c r="AV576" s="8" t="s">
        <v>11</v>
      </c>
    </row>
    <row r="577" spans="1:48" ht="15" customHeight="1">
      <c r="A577" s="463" t="s">
        <v>1013</v>
      </c>
      <c r="B577" s="459" t="s">
        <v>1015</v>
      </c>
      <c r="C577" s="9" t="s">
        <v>21</v>
      </c>
      <c r="D577" s="27">
        <f>1/4</f>
        <v>0.25</v>
      </c>
      <c r="E577" s="12">
        <f>'ANÁLISIS CUADRILLAS'!F56</f>
        <v>1160.5378059999998</v>
      </c>
      <c r="F577" s="13">
        <f>D577*E577</f>
        <v>290.13445149999995</v>
      </c>
      <c r="H577" s="463" t="s">
        <v>1013</v>
      </c>
      <c r="I577" s="459" t="s">
        <v>1015</v>
      </c>
      <c r="J577" s="9" t="s">
        <v>21</v>
      </c>
      <c r="K577" s="27">
        <f>1/4</f>
        <v>0.25</v>
      </c>
      <c r="L577" s="12">
        <f>'ANÁLISIS CUADRILLAS'!F56</f>
        <v>1160.5378059999998</v>
      </c>
      <c r="M577" s="13">
        <f>K577*L577</f>
        <v>290.13445149999995</v>
      </c>
      <c r="O577" s="463" t="s">
        <v>1013</v>
      </c>
      <c r="P577" s="459" t="s">
        <v>1015</v>
      </c>
      <c r="Q577" s="9" t="s">
        <v>21</v>
      </c>
      <c r="R577" s="27">
        <f>1/4</f>
        <v>0.25</v>
      </c>
      <c r="S577" s="12">
        <f>'ANÁLISIS CUADRILLAS'!F56</f>
        <v>1160.5378059999998</v>
      </c>
      <c r="T577" s="13">
        <f>R577*S577</f>
        <v>290.13445149999995</v>
      </c>
      <c r="V577" s="463" t="s">
        <v>1013</v>
      </c>
      <c r="W577" s="459" t="s">
        <v>1015</v>
      </c>
      <c r="X577" s="9" t="s">
        <v>21</v>
      </c>
      <c r="Y577" s="27">
        <f>1/4</f>
        <v>0.25</v>
      </c>
      <c r="Z577" s="12">
        <f>'ANÁLISIS CUADRILLAS'!F56</f>
        <v>1160.5378059999998</v>
      </c>
      <c r="AA577" s="13">
        <f>Y577*Z577</f>
        <v>290.13445149999995</v>
      </c>
      <c r="AC577" s="463" t="s">
        <v>1013</v>
      </c>
      <c r="AD577" s="459" t="s">
        <v>1015</v>
      </c>
      <c r="AE577" s="9" t="s">
        <v>21</v>
      </c>
      <c r="AF577" s="27">
        <f>1/4</f>
        <v>0.25</v>
      </c>
      <c r="AG577" s="12">
        <f>'ANÁLISIS CUADRILLAS'!F56</f>
        <v>1160.5378059999998</v>
      </c>
      <c r="AH577" s="13">
        <f>AF577*AG577</f>
        <v>290.13445149999995</v>
      </c>
      <c r="AJ577" s="463" t="s">
        <v>1013</v>
      </c>
      <c r="AK577" s="459" t="s">
        <v>1015</v>
      </c>
      <c r="AL577" s="9" t="s">
        <v>21</v>
      </c>
      <c r="AM577" s="27">
        <f>1/4</f>
        <v>0.25</v>
      </c>
      <c r="AN577" s="12">
        <f>'ANÁLISIS CUADRILLAS'!F56</f>
        <v>1160.5378059999998</v>
      </c>
      <c r="AO577" s="13">
        <f>AM577*AN577</f>
        <v>290.13445149999995</v>
      </c>
      <c r="AQ577" s="463" t="s">
        <v>1013</v>
      </c>
      <c r="AR577" s="459" t="s">
        <v>1015</v>
      </c>
      <c r="AS577" s="9" t="s">
        <v>21</v>
      </c>
      <c r="AT577" s="27">
        <f>1/4</f>
        <v>0.25</v>
      </c>
      <c r="AU577" s="12">
        <f>'ANÁLISIS CUADRILLAS'!F56</f>
        <v>1160.5378059999998</v>
      </c>
      <c r="AV577" s="13">
        <f>AT577*AU577</f>
        <v>290.13445149999995</v>
      </c>
    </row>
    <row r="578" spans="1:48" ht="15" customHeight="1" thickBot="1">
      <c r="A578" s="23"/>
      <c r="B578" s="24"/>
      <c r="C578" s="23"/>
      <c r="D578" s="23"/>
      <c r="E578" s="25"/>
      <c r="F578" s="25"/>
      <c r="H578" s="23"/>
      <c r="I578" s="24"/>
      <c r="J578" s="23"/>
      <c r="K578" s="23"/>
      <c r="L578" s="25"/>
      <c r="M578" s="25"/>
      <c r="O578" s="23"/>
      <c r="P578" s="24"/>
      <c r="Q578" s="23"/>
      <c r="R578" s="23"/>
      <c r="S578" s="25"/>
      <c r="T578" s="25"/>
      <c r="V578" s="23"/>
      <c r="W578" s="24"/>
      <c r="X578" s="23"/>
      <c r="Y578" s="23"/>
      <c r="Z578" s="25"/>
      <c r="AA578" s="25"/>
      <c r="AC578" s="23"/>
      <c r="AD578" s="24"/>
      <c r="AE578" s="23"/>
      <c r="AF578" s="23"/>
      <c r="AG578" s="25"/>
      <c r="AH578" s="25"/>
      <c r="AJ578" s="23"/>
      <c r="AK578" s="24"/>
      <c r="AL578" s="23"/>
      <c r="AM578" s="23"/>
      <c r="AN578" s="25"/>
      <c r="AO578" s="25"/>
      <c r="AQ578" s="23"/>
      <c r="AR578" s="24"/>
      <c r="AS578" s="23"/>
      <c r="AT578" s="23"/>
      <c r="AU578" s="25"/>
      <c r="AV578" s="25"/>
    </row>
    <row r="579" spans="1:48" ht="15" customHeight="1" thickBot="1">
      <c r="A579" s="714" t="s">
        <v>18</v>
      </c>
      <c r="B579" s="715"/>
      <c r="C579" s="715"/>
      <c r="D579" s="715"/>
      <c r="E579" s="716"/>
      <c r="F579" s="35">
        <f>SUM(F577:F578)</f>
        <v>290.13445149999995</v>
      </c>
      <c r="H579" s="714" t="s">
        <v>18</v>
      </c>
      <c r="I579" s="715"/>
      <c r="J579" s="715"/>
      <c r="K579" s="715"/>
      <c r="L579" s="716"/>
      <c r="M579" s="35">
        <f>SUM(M577:M578)</f>
        <v>290.13445149999995</v>
      </c>
      <c r="O579" s="714" t="s">
        <v>18</v>
      </c>
      <c r="P579" s="715"/>
      <c r="Q579" s="715"/>
      <c r="R579" s="715"/>
      <c r="S579" s="716"/>
      <c r="T579" s="35">
        <f>SUM(T577:T578)</f>
        <v>290.13445149999995</v>
      </c>
      <c r="V579" s="714" t="s">
        <v>18</v>
      </c>
      <c r="W579" s="715"/>
      <c r="X579" s="715"/>
      <c r="Y579" s="715"/>
      <c r="Z579" s="716"/>
      <c r="AA579" s="35">
        <f>SUM(AA577:AA578)</f>
        <v>290.13445149999995</v>
      </c>
      <c r="AC579" s="714" t="s">
        <v>18</v>
      </c>
      <c r="AD579" s="715"/>
      <c r="AE579" s="715"/>
      <c r="AF579" s="715"/>
      <c r="AG579" s="716"/>
      <c r="AH579" s="35">
        <f>SUM(AH577:AH578)</f>
        <v>290.13445149999995</v>
      </c>
      <c r="AJ579" s="714" t="s">
        <v>18</v>
      </c>
      <c r="AK579" s="715"/>
      <c r="AL579" s="715"/>
      <c r="AM579" s="715"/>
      <c r="AN579" s="716"/>
      <c r="AO579" s="35">
        <f>SUM(AO577:AO578)</f>
        <v>290.13445149999995</v>
      </c>
      <c r="AQ579" s="714" t="s">
        <v>18</v>
      </c>
      <c r="AR579" s="715"/>
      <c r="AS579" s="715"/>
      <c r="AT579" s="715"/>
      <c r="AU579" s="716"/>
      <c r="AV579" s="35">
        <f>SUM(AV577:AV578)</f>
        <v>290.13445149999995</v>
      </c>
    </row>
    <row r="580" spans="1:48" ht="15" customHeight="1" thickBot="1">
      <c r="A580" s="717" t="s">
        <v>23</v>
      </c>
      <c r="B580" s="718"/>
      <c r="C580" s="718"/>
      <c r="D580" s="718"/>
      <c r="E580" s="718"/>
      <c r="F580" s="719"/>
      <c r="H580" s="717" t="s">
        <v>23</v>
      </c>
      <c r="I580" s="718"/>
      <c r="J580" s="718"/>
      <c r="K580" s="718"/>
      <c r="L580" s="718"/>
      <c r="M580" s="719"/>
      <c r="O580" s="717" t="s">
        <v>23</v>
      </c>
      <c r="P580" s="718"/>
      <c r="Q580" s="718"/>
      <c r="R580" s="718"/>
      <c r="S580" s="718"/>
      <c r="T580" s="719"/>
      <c r="V580" s="717" t="s">
        <v>23</v>
      </c>
      <c r="W580" s="718"/>
      <c r="X580" s="718"/>
      <c r="Y580" s="718"/>
      <c r="Z580" s="718"/>
      <c r="AA580" s="719"/>
      <c r="AC580" s="717" t="s">
        <v>23</v>
      </c>
      <c r="AD580" s="718"/>
      <c r="AE580" s="718"/>
      <c r="AF580" s="718"/>
      <c r="AG580" s="718"/>
      <c r="AH580" s="719"/>
      <c r="AJ580" s="717" t="s">
        <v>23</v>
      </c>
      <c r="AK580" s="718"/>
      <c r="AL580" s="718"/>
      <c r="AM580" s="718"/>
      <c r="AN580" s="718"/>
      <c r="AO580" s="719"/>
      <c r="AQ580" s="717" t="s">
        <v>23</v>
      </c>
      <c r="AR580" s="718"/>
      <c r="AS580" s="718"/>
      <c r="AT580" s="718"/>
      <c r="AU580" s="718"/>
      <c r="AV580" s="719"/>
    </row>
    <row r="581" spans="1:48" ht="15" customHeight="1" thickBot="1">
      <c r="A581" s="8" t="s">
        <v>1</v>
      </c>
      <c r="B581" s="5" t="s">
        <v>2</v>
      </c>
      <c r="C581" s="8" t="s">
        <v>3</v>
      </c>
      <c r="D581" s="8" t="s">
        <v>9</v>
      </c>
      <c r="E581" s="8" t="s">
        <v>10</v>
      </c>
      <c r="F581" s="8" t="s">
        <v>11</v>
      </c>
      <c r="H581" s="8" t="s">
        <v>1</v>
      </c>
      <c r="I581" s="5" t="s">
        <v>2</v>
      </c>
      <c r="J581" s="8" t="s">
        <v>3</v>
      </c>
      <c r="K581" s="8" t="s">
        <v>9</v>
      </c>
      <c r="L581" s="8" t="s">
        <v>10</v>
      </c>
      <c r="M581" s="8" t="s">
        <v>11</v>
      </c>
      <c r="O581" s="8" t="s">
        <v>1</v>
      </c>
      <c r="P581" s="5" t="s">
        <v>2</v>
      </c>
      <c r="Q581" s="8" t="s">
        <v>3</v>
      </c>
      <c r="R581" s="8" t="s">
        <v>9</v>
      </c>
      <c r="S581" s="8" t="s">
        <v>10</v>
      </c>
      <c r="T581" s="8" t="s">
        <v>11</v>
      </c>
      <c r="V581" s="8" t="s">
        <v>1</v>
      </c>
      <c r="W581" s="5" t="s">
        <v>2</v>
      </c>
      <c r="X581" s="8" t="s">
        <v>3</v>
      </c>
      <c r="Y581" s="8" t="s">
        <v>9</v>
      </c>
      <c r="Z581" s="8" t="s">
        <v>10</v>
      </c>
      <c r="AA581" s="8" t="s">
        <v>11</v>
      </c>
      <c r="AC581" s="8" t="s">
        <v>1</v>
      </c>
      <c r="AD581" s="5" t="s">
        <v>2</v>
      </c>
      <c r="AE581" s="8" t="s">
        <v>3</v>
      </c>
      <c r="AF581" s="8" t="s">
        <v>9</v>
      </c>
      <c r="AG581" s="8" t="s">
        <v>10</v>
      </c>
      <c r="AH581" s="8" t="s">
        <v>11</v>
      </c>
      <c r="AJ581" s="8" t="s">
        <v>1</v>
      </c>
      <c r="AK581" s="5" t="s">
        <v>2</v>
      </c>
      <c r="AL581" s="8" t="s">
        <v>3</v>
      </c>
      <c r="AM581" s="8" t="s">
        <v>9</v>
      </c>
      <c r="AN581" s="8" t="s">
        <v>10</v>
      </c>
      <c r="AO581" s="8" t="s">
        <v>11</v>
      </c>
      <c r="AQ581" s="8" t="s">
        <v>1</v>
      </c>
      <c r="AR581" s="5" t="s">
        <v>2</v>
      </c>
      <c r="AS581" s="8" t="s">
        <v>3</v>
      </c>
      <c r="AT581" s="8" t="s">
        <v>9</v>
      </c>
      <c r="AU581" s="8" t="s">
        <v>10</v>
      </c>
      <c r="AV581" s="8" t="s">
        <v>11</v>
      </c>
    </row>
    <row r="582" spans="1:48" ht="15" customHeight="1" thickBot="1">
      <c r="A582" s="36" t="s">
        <v>24</v>
      </c>
      <c r="B582" s="37" t="s">
        <v>23</v>
      </c>
      <c r="C582" s="36" t="s">
        <v>25</v>
      </c>
      <c r="D582" s="38">
        <v>0.03</v>
      </c>
      <c r="E582" s="39">
        <f>F577</f>
        <v>290.13445149999995</v>
      </c>
      <c r="F582" s="39">
        <f>(D582*E582)</f>
        <v>8.7040335449999979</v>
      </c>
      <c r="H582" s="36" t="s">
        <v>24</v>
      </c>
      <c r="I582" s="37" t="s">
        <v>23</v>
      </c>
      <c r="J582" s="36" t="s">
        <v>25</v>
      </c>
      <c r="K582" s="38">
        <v>0.03</v>
      </c>
      <c r="L582" s="39">
        <f>M577</f>
        <v>290.13445149999995</v>
      </c>
      <c r="M582" s="39">
        <f>(K582*L582)</f>
        <v>8.7040335449999979</v>
      </c>
      <c r="O582" s="36" t="s">
        <v>24</v>
      </c>
      <c r="P582" s="37" t="s">
        <v>23</v>
      </c>
      <c r="Q582" s="36" t="s">
        <v>25</v>
      </c>
      <c r="R582" s="38">
        <v>0.03</v>
      </c>
      <c r="S582" s="39">
        <f>T577</f>
        <v>290.13445149999995</v>
      </c>
      <c r="T582" s="39">
        <f>(R582*S582)</f>
        <v>8.7040335449999979</v>
      </c>
      <c r="V582" s="36" t="s">
        <v>24</v>
      </c>
      <c r="W582" s="37" t="s">
        <v>23</v>
      </c>
      <c r="X582" s="36" t="s">
        <v>25</v>
      </c>
      <c r="Y582" s="38">
        <v>0.03</v>
      </c>
      <c r="Z582" s="39">
        <f>AA577</f>
        <v>290.13445149999995</v>
      </c>
      <c r="AA582" s="39">
        <f>(Y582*Z582)</f>
        <v>8.7040335449999979</v>
      </c>
      <c r="AC582" s="36" t="s">
        <v>24</v>
      </c>
      <c r="AD582" s="37" t="s">
        <v>23</v>
      </c>
      <c r="AE582" s="36" t="s">
        <v>25</v>
      </c>
      <c r="AF582" s="38">
        <v>0.03</v>
      </c>
      <c r="AG582" s="39">
        <f>AH577</f>
        <v>290.13445149999995</v>
      </c>
      <c r="AH582" s="39">
        <f>(AF582*AG582)</f>
        <v>8.7040335449999979</v>
      </c>
      <c r="AJ582" s="36" t="s">
        <v>24</v>
      </c>
      <c r="AK582" s="37" t="s">
        <v>23</v>
      </c>
      <c r="AL582" s="36" t="s">
        <v>25</v>
      </c>
      <c r="AM582" s="38">
        <v>0.03</v>
      </c>
      <c r="AN582" s="39">
        <f>AO577</f>
        <v>290.13445149999995</v>
      </c>
      <c r="AO582" s="39">
        <f>(AM582*AN582)</f>
        <v>8.7040335449999979</v>
      </c>
      <c r="AQ582" s="36" t="s">
        <v>24</v>
      </c>
      <c r="AR582" s="37" t="s">
        <v>23</v>
      </c>
      <c r="AS582" s="36" t="s">
        <v>25</v>
      </c>
      <c r="AT582" s="38">
        <v>0.03</v>
      </c>
      <c r="AU582" s="39">
        <f>AV577</f>
        <v>290.13445149999995</v>
      </c>
      <c r="AV582" s="39">
        <f>(AT582*AU582)</f>
        <v>8.7040335449999979</v>
      </c>
    </row>
    <row r="583" spans="1:48" ht="15" customHeight="1" thickBot="1">
      <c r="A583" s="720" t="s">
        <v>26</v>
      </c>
      <c r="B583" s="721"/>
      <c r="C583" s="721"/>
      <c r="D583" s="721"/>
      <c r="E583" s="722"/>
      <c r="F583" s="40">
        <f>SUM(F582)</f>
        <v>8.7040335449999979</v>
      </c>
      <c r="H583" s="720" t="s">
        <v>26</v>
      </c>
      <c r="I583" s="721"/>
      <c r="J583" s="721"/>
      <c r="K583" s="721"/>
      <c r="L583" s="722"/>
      <c r="M583" s="40">
        <f>SUM(M582)</f>
        <v>8.7040335449999979</v>
      </c>
      <c r="O583" s="720" t="s">
        <v>26</v>
      </c>
      <c r="P583" s="721"/>
      <c r="Q583" s="721"/>
      <c r="R583" s="721"/>
      <c r="S583" s="722"/>
      <c r="T583" s="40">
        <f>SUM(T582)</f>
        <v>8.7040335449999979</v>
      </c>
      <c r="V583" s="720" t="s">
        <v>26</v>
      </c>
      <c r="W583" s="721"/>
      <c r="X583" s="721"/>
      <c r="Y583" s="721"/>
      <c r="Z583" s="722"/>
      <c r="AA583" s="40">
        <f>SUM(AA582)</f>
        <v>8.7040335449999979</v>
      </c>
      <c r="AC583" s="720" t="s">
        <v>26</v>
      </c>
      <c r="AD583" s="721"/>
      <c r="AE583" s="721"/>
      <c r="AF583" s="721"/>
      <c r="AG583" s="722"/>
      <c r="AH583" s="40">
        <f>SUM(AH582)</f>
        <v>8.7040335449999979</v>
      </c>
      <c r="AJ583" s="720" t="s">
        <v>26</v>
      </c>
      <c r="AK583" s="721"/>
      <c r="AL583" s="721"/>
      <c r="AM583" s="721"/>
      <c r="AN583" s="722"/>
      <c r="AO583" s="40">
        <f>SUM(AO582)</f>
        <v>8.7040335449999979</v>
      </c>
      <c r="AQ583" s="720" t="s">
        <v>26</v>
      </c>
      <c r="AR583" s="721"/>
      <c r="AS583" s="721"/>
      <c r="AT583" s="721"/>
      <c r="AU583" s="722"/>
      <c r="AV583" s="40">
        <f>SUM(AV582)</f>
        <v>8.7040335449999979</v>
      </c>
    </row>
    <row r="584" spans="1:48" ht="15" customHeight="1" thickBot="1">
      <c r="A584" s="723" t="s">
        <v>27</v>
      </c>
      <c r="B584" s="724"/>
      <c r="C584" s="724"/>
      <c r="D584" s="724"/>
      <c r="E584" s="724"/>
      <c r="F584" s="725"/>
      <c r="H584" s="723" t="s">
        <v>27</v>
      </c>
      <c r="I584" s="724"/>
      <c r="J584" s="724"/>
      <c r="K584" s="724"/>
      <c r="L584" s="724"/>
      <c r="M584" s="725"/>
      <c r="O584" s="723" t="s">
        <v>27</v>
      </c>
      <c r="P584" s="724"/>
      <c r="Q584" s="724"/>
      <c r="R584" s="724"/>
      <c r="S584" s="724"/>
      <c r="T584" s="725"/>
      <c r="V584" s="723" t="s">
        <v>27</v>
      </c>
      <c r="W584" s="724"/>
      <c r="X584" s="724"/>
      <c r="Y584" s="724"/>
      <c r="Z584" s="724"/>
      <c r="AA584" s="725"/>
      <c r="AC584" s="723" t="s">
        <v>27</v>
      </c>
      <c r="AD584" s="724"/>
      <c r="AE584" s="724"/>
      <c r="AF584" s="724"/>
      <c r="AG584" s="724"/>
      <c r="AH584" s="725"/>
      <c r="AJ584" s="723" t="s">
        <v>27</v>
      </c>
      <c r="AK584" s="724"/>
      <c r="AL584" s="724"/>
      <c r="AM584" s="724"/>
      <c r="AN584" s="724"/>
      <c r="AO584" s="725"/>
      <c r="AQ584" s="723" t="s">
        <v>27</v>
      </c>
      <c r="AR584" s="724"/>
      <c r="AS584" s="724"/>
      <c r="AT584" s="724"/>
      <c r="AU584" s="724"/>
      <c r="AV584" s="725"/>
    </row>
    <row r="585" spans="1:48" ht="15" customHeight="1" thickBot="1">
      <c r="A585" s="8" t="s">
        <v>1</v>
      </c>
      <c r="B585" s="5" t="s">
        <v>2</v>
      </c>
      <c r="C585" s="8" t="s">
        <v>3</v>
      </c>
      <c r="D585" s="8" t="s">
        <v>9</v>
      </c>
      <c r="E585" s="8" t="s">
        <v>10</v>
      </c>
      <c r="F585" s="8" t="s">
        <v>11</v>
      </c>
      <c r="H585" s="8" t="s">
        <v>1</v>
      </c>
      <c r="I585" s="5" t="s">
        <v>2</v>
      </c>
      <c r="J585" s="8" t="s">
        <v>3</v>
      </c>
      <c r="K585" s="8" t="s">
        <v>9</v>
      </c>
      <c r="L585" s="8" t="s">
        <v>10</v>
      </c>
      <c r="M585" s="8" t="s">
        <v>11</v>
      </c>
      <c r="O585" s="8" t="s">
        <v>1</v>
      </c>
      <c r="P585" s="5" t="s">
        <v>2</v>
      </c>
      <c r="Q585" s="8" t="s">
        <v>3</v>
      </c>
      <c r="R585" s="8" t="s">
        <v>9</v>
      </c>
      <c r="S585" s="8" t="s">
        <v>10</v>
      </c>
      <c r="T585" s="8" t="s">
        <v>11</v>
      </c>
      <c r="V585" s="8" t="s">
        <v>1</v>
      </c>
      <c r="W585" s="5" t="s">
        <v>2</v>
      </c>
      <c r="X585" s="8" t="s">
        <v>3</v>
      </c>
      <c r="Y585" s="8" t="s">
        <v>9</v>
      </c>
      <c r="Z585" s="8" t="s">
        <v>10</v>
      </c>
      <c r="AA585" s="8" t="s">
        <v>11</v>
      </c>
      <c r="AC585" s="8" t="s">
        <v>1</v>
      </c>
      <c r="AD585" s="5" t="s">
        <v>2</v>
      </c>
      <c r="AE585" s="8" t="s">
        <v>3</v>
      </c>
      <c r="AF585" s="8" t="s">
        <v>9</v>
      </c>
      <c r="AG585" s="8" t="s">
        <v>10</v>
      </c>
      <c r="AH585" s="8" t="s">
        <v>11</v>
      </c>
      <c r="AJ585" s="8" t="s">
        <v>1</v>
      </c>
      <c r="AK585" s="5" t="s">
        <v>2</v>
      </c>
      <c r="AL585" s="8" t="s">
        <v>3</v>
      </c>
      <c r="AM585" s="8" t="s">
        <v>9</v>
      </c>
      <c r="AN585" s="8" t="s">
        <v>10</v>
      </c>
      <c r="AO585" s="8" t="s">
        <v>11</v>
      </c>
      <c r="AQ585" s="8" t="s">
        <v>1</v>
      </c>
      <c r="AR585" s="5" t="s">
        <v>2</v>
      </c>
      <c r="AS585" s="8" t="s">
        <v>3</v>
      </c>
      <c r="AT585" s="8" t="s">
        <v>9</v>
      </c>
      <c r="AU585" s="8" t="s">
        <v>10</v>
      </c>
      <c r="AV585" s="8" t="s">
        <v>11</v>
      </c>
    </row>
    <row r="586" spans="1:48" ht="15" customHeight="1">
      <c r="A586" s="9" t="s">
        <v>28</v>
      </c>
      <c r="B586" s="10" t="s">
        <v>29</v>
      </c>
      <c r="C586" s="9" t="s">
        <v>25</v>
      </c>
      <c r="D586" s="11">
        <v>0.02</v>
      </c>
      <c r="E586" s="13">
        <f>F577</f>
        <v>290.13445149999995</v>
      </c>
      <c r="F586" s="13">
        <f>(D586*E586)</f>
        <v>5.8026890299999989</v>
      </c>
      <c r="H586" s="9" t="s">
        <v>28</v>
      </c>
      <c r="I586" s="10" t="s">
        <v>29</v>
      </c>
      <c r="J586" s="9" t="s">
        <v>25</v>
      </c>
      <c r="K586" s="11">
        <v>0.02</v>
      </c>
      <c r="L586" s="13">
        <f>M577</f>
        <v>290.13445149999995</v>
      </c>
      <c r="M586" s="13">
        <f>(K586*L586)</f>
        <v>5.8026890299999989</v>
      </c>
      <c r="O586" s="9" t="s">
        <v>28</v>
      </c>
      <c r="P586" s="10" t="s">
        <v>29</v>
      </c>
      <c r="Q586" s="9" t="s">
        <v>25</v>
      </c>
      <c r="R586" s="11">
        <v>0.02</v>
      </c>
      <c r="S586" s="13">
        <f>T577</f>
        <v>290.13445149999995</v>
      </c>
      <c r="T586" s="13">
        <f>(R586*S586)</f>
        <v>5.8026890299999989</v>
      </c>
      <c r="V586" s="9" t="s">
        <v>28</v>
      </c>
      <c r="W586" s="10" t="s">
        <v>29</v>
      </c>
      <c r="X586" s="9" t="s">
        <v>25</v>
      </c>
      <c r="Y586" s="11">
        <v>0.02</v>
      </c>
      <c r="Z586" s="13">
        <f>AA577</f>
        <v>290.13445149999995</v>
      </c>
      <c r="AA586" s="13">
        <f>(Y586*Z586)</f>
        <v>5.8026890299999989</v>
      </c>
      <c r="AC586" s="9" t="s">
        <v>28</v>
      </c>
      <c r="AD586" s="10" t="s">
        <v>29</v>
      </c>
      <c r="AE586" s="9" t="s">
        <v>25</v>
      </c>
      <c r="AF586" s="11">
        <v>0.02</v>
      </c>
      <c r="AG586" s="13">
        <f>AH577</f>
        <v>290.13445149999995</v>
      </c>
      <c r="AH586" s="13">
        <f>(AF586*AG586)</f>
        <v>5.8026890299999989</v>
      </c>
      <c r="AJ586" s="9" t="s">
        <v>28</v>
      </c>
      <c r="AK586" s="10" t="s">
        <v>29</v>
      </c>
      <c r="AL586" s="9" t="s">
        <v>25</v>
      </c>
      <c r="AM586" s="11">
        <v>0.02</v>
      </c>
      <c r="AN586" s="13">
        <f>AO577</f>
        <v>290.13445149999995</v>
      </c>
      <c r="AO586" s="13">
        <f>(AM586*AN586)</f>
        <v>5.8026890299999989</v>
      </c>
      <c r="AQ586" s="9" t="s">
        <v>28</v>
      </c>
      <c r="AR586" s="10" t="s">
        <v>29</v>
      </c>
      <c r="AS586" s="9" t="s">
        <v>25</v>
      </c>
      <c r="AT586" s="11">
        <v>0.02</v>
      </c>
      <c r="AU586" s="13">
        <f>AV577</f>
        <v>290.13445149999995</v>
      </c>
      <c r="AV586" s="13">
        <f>(AT586*AU586)</f>
        <v>5.8026890299999989</v>
      </c>
    </row>
    <row r="587" spans="1:48" ht="15" customHeight="1" thickBot="1">
      <c r="A587" s="23"/>
      <c r="B587" s="24"/>
      <c r="C587" s="23"/>
      <c r="D587" s="23"/>
      <c r="E587" s="25"/>
      <c r="F587" s="25"/>
      <c r="H587" s="23"/>
      <c r="I587" s="24"/>
      <c r="J587" s="23"/>
      <c r="K587" s="23"/>
      <c r="L587" s="25"/>
      <c r="M587" s="25"/>
      <c r="O587" s="23"/>
      <c r="P587" s="24"/>
      <c r="Q587" s="23"/>
      <c r="R587" s="23"/>
      <c r="S587" s="25"/>
      <c r="T587" s="25"/>
      <c r="V587" s="23"/>
      <c r="W587" s="24"/>
      <c r="X587" s="23"/>
      <c r="Y587" s="23"/>
      <c r="Z587" s="25"/>
      <c r="AA587" s="25"/>
      <c r="AC587" s="23"/>
      <c r="AD587" s="24"/>
      <c r="AE587" s="23"/>
      <c r="AF587" s="23"/>
      <c r="AG587" s="25"/>
      <c r="AH587" s="25"/>
      <c r="AJ587" s="23"/>
      <c r="AK587" s="24"/>
      <c r="AL587" s="23"/>
      <c r="AM587" s="23"/>
      <c r="AN587" s="25"/>
      <c r="AO587" s="25"/>
      <c r="AQ587" s="23"/>
      <c r="AR587" s="24"/>
      <c r="AS587" s="23"/>
      <c r="AT587" s="23"/>
      <c r="AU587" s="25"/>
      <c r="AV587" s="25"/>
    </row>
    <row r="588" spans="1:48" ht="15" customHeight="1" thickBot="1">
      <c r="A588" s="726" t="s">
        <v>34</v>
      </c>
      <c r="B588" s="727"/>
      <c r="C588" s="727"/>
      <c r="D588" s="727"/>
      <c r="E588" s="728"/>
      <c r="F588" s="41">
        <f>SUM(F586:F587)</f>
        <v>5.8026890299999989</v>
      </c>
      <c r="H588" s="726" t="s">
        <v>34</v>
      </c>
      <c r="I588" s="727"/>
      <c r="J588" s="727"/>
      <c r="K588" s="727"/>
      <c r="L588" s="728"/>
      <c r="M588" s="41">
        <f>SUM(M586:M587)</f>
        <v>5.8026890299999989</v>
      </c>
      <c r="O588" s="726" t="s">
        <v>34</v>
      </c>
      <c r="P588" s="727"/>
      <c r="Q588" s="727"/>
      <c r="R588" s="727"/>
      <c r="S588" s="728"/>
      <c r="T588" s="41">
        <f>SUM(T586:T587)</f>
        <v>5.8026890299999989</v>
      </c>
      <c r="V588" s="726" t="s">
        <v>34</v>
      </c>
      <c r="W588" s="727"/>
      <c r="X588" s="727"/>
      <c r="Y588" s="727"/>
      <c r="Z588" s="728"/>
      <c r="AA588" s="41">
        <f>SUM(AA586:AA587)</f>
        <v>5.8026890299999989</v>
      </c>
      <c r="AC588" s="726" t="s">
        <v>34</v>
      </c>
      <c r="AD588" s="727"/>
      <c r="AE588" s="727"/>
      <c r="AF588" s="727"/>
      <c r="AG588" s="728"/>
      <c r="AH588" s="41">
        <f>SUM(AH586:AH587)</f>
        <v>5.8026890299999989</v>
      </c>
      <c r="AJ588" s="726" t="s">
        <v>34</v>
      </c>
      <c r="AK588" s="727"/>
      <c r="AL588" s="727"/>
      <c r="AM588" s="727"/>
      <c r="AN588" s="728"/>
      <c r="AO588" s="41">
        <f>SUM(AO586:AO587)</f>
        <v>5.8026890299999989</v>
      </c>
      <c r="AQ588" s="726" t="s">
        <v>34</v>
      </c>
      <c r="AR588" s="727"/>
      <c r="AS588" s="727"/>
      <c r="AT588" s="727"/>
      <c r="AU588" s="728"/>
      <c r="AV588" s="41">
        <f>SUM(AV586:AV587)</f>
        <v>5.8026890299999989</v>
      </c>
    </row>
    <row r="589" spans="1:48" ht="15" customHeight="1" thickBot="1">
      <c r="A589" s="729" t="s">
        <v>35</v>
      </c>
      <c r="B589" s="730"/>
      <c r="C589" s="730"/>
      <c r="D589" s="730"/>
      <c r="E589" s="730"/>
      <c r="F589" s="731"/>
      <c r="H589" s="729" t="s">
        <v>35</v>
      </c>
      <c r="I589" s="730"/>
      <c r="J589" s="730"/>
      <c r="K589" s="730"/>
      <c r="L589" s="730"/>
      <c r="M589" s="731"/>
      <c r="O589" s="729" t="s">
        <v>35</v>
      </c>
      <c r="P589" s="730"/>
      <c r="Q589" s="730"/>
      <c r="R589" s="730"/>
      <c r="S589" s="730"/>
      <c r="T589" s="731"/>
      <c r="V589" s="729" t="s">
        <v>35</v>
      </c>
      <c r="W589" s="730"/>
      <c r="X589" s="730"/>
      <c r="Y589" s="730"/>
      <c r="Z589" s="730"/>
      <c r="AA589" s="731"/>
      <c r="AC589" s="729" t="s">
        <v>35</v>
      </c>
      <c r="AD589" s="730"/>
      <c r="AE589" s="730"/>
      <c r="AF589" s="730"/>
      <c r="AG589" s="730"/>
      <c r="AH589" s="731"/>
      <c r="AJ589" s="729" t="s">
        <v>35</v>
      </c>
      <c r="AK589" s="730"/>
      <c r="AL589" s="730"/>
      <c r="AM589" s="730"/>
      <c r="AN589" s="730"/>
      <c r="AO589" s="731"/>
      <c r="AQ589" s="729" t="s">
        <v>35</v>
      </c>
      <c r="AR589" s="730"/>
      <c r="AS589" s="730"/>
      <c r="AT589" s="730"/>
      <c r="AU589" s="730"/>
      <c r="AV589" s="731"/>
    </row>
    <row r="590" spans="1:48" ht="15" customHeight="1" thickBot="1">
      <c r="A590" s="8" t="s">
        <v>1</v>
      </c>
      <c r="B590" s="5" t="s">
        <v>2</v>
      </c>
      <c r="C590" s="8" t="s">
        <v>3</v>
      </c>
      <c r="D590" s="8" t="s">
        <v>9</v>
      </c>
      <c r="E590" s="8" t="s">
        <v>10</v>
      </c>
      <c r="F590" s="8" t="s">
        <v>11</v>
      </c>
      <c r="H590" s="8" t="s">
        <v>1</v>
      </c>
      <c r="I590" s="5" t="s">
        <v>2</v>
      </c>
      <c r="J590" s="8" t="s">
        <v>3</v>
      </c>
      <c r="K590" s="8" t="s">
        <v>9</v>
      </c>
      <c r="L590" s="8" t="s">
        <v>10</v>
      </c>
      <c r="M590" s="8" t="s">
        <v>11</v>
      </c>
      <c r="O590" s="8" t="s">
        <v>1</v>
      </c>
      <c r="P590" s="5" t="s">
        <v>2</v>
      </c>
      <c r="Q590" s="8" t="s">
        <v>3</v>
      </c>
      <c r="R590" s="8" t="s">
        <v>9</v>
      </c>
      <c r="S590" s="8" t="s">
        <v>10</v>
      </c>
      <c r="T590" s="8" t="s">
        <v>11</v>
      </c>
      <c r="V590" s="8" t="s">
        <v>1</v>
      </c>
      <c r="W590" s="5" t="s">
        <v>2</v>
      </c>
      <c r="X590" s="8" t="s">
        <v>3</v>
      </c>
      <c r="Y590" s="8" t="s">
        <v>9</v>
      </c>
      <c r="Z590" s="8" t="s">
        <v>10</v>
      </c>
      <c r="AA590" s="8" t="s">
        <v>11</v>
      </c>
      <c r="AC590" s="8" t="s">
        <v>1</v>
      </c>
      <c r="AD590" s="5" t="s">
        <v>2</v>
      </c>
      <c r="AE590" s="8" t="s">
        <v>3</v>
      </c>
      <c r="AF590" s="8" t="s">
        <v>9</v>
      </c>
      <c r="AG590" s="8" t="s">
        <v>10</v>
      </c>
      <c r="AH590" s="8" t="s">
        <v>11</v>
      </c>
      <c r="AJ590" s="8" t="s">
        <v>1</v>
      </c>
      <c r="AK590" s="5" t="s">
        <v>2</v>
      </c>
      <c r="AL590" s="8" t="s">
        <v>3</v>
      </c>
      <c r="AM590" s="8" t="s">
        <v>9</v>
      </c>
      <c r="AN590" s="8" t="s">
        <v>10</v>
      </c>
      <c r="AO590" s="8" t="s">
        <v>11</v>
      </c>
      <c r="AQ590" s="8" t="s">
        <v>1</v>
      </c>
      <c r="AR590" s="5" t="s">
        <v>2</v>
      </c>
      <c r="AS590" s="8" t="s">
        <v>3</v>
      </c>
      <c r="AT590" s="8" t="s">
        <v>9</v>
      </c>
      <c r="AU590" s="8" t="s">
        <v>10</v>
      </c>
      <c r="AV590" s="8" t="s">
        <v>11</v>
      </c>
    </row>
    <row r="591" spans="1:48" ht="15" customHeight="1">
      <c r="A591" s="14"/>
      <c r="B591" s="15"/>
      <c r="C591" s="14"/>
      <c r="D591" s="14"/>
      <c r="E591" s="12"/>
      <c r="F591" s="13"/>
      <c r="H591" s="14"/>
      <c r="I591" s="15"/>
      <c r="J591" s="14"/>
      <c r="K591" s="14"/>
      <c r="L591" s="12"/>
      <c r="M591" s="13"/>
      <c r="O591" s="14"/>
      <c r="P591" s="15"/>
      <c r="Q591" s="14"/>
      <c r="R591" s="14"/>
      <c r="S591" s="12"/>
      <c r="T591" s="13"/>
      <c r="V591" s="14"/>
      <c r="W591" s="15"/>
      <c r="X591" s="14"/>
      <c r="Y591" s="14"/>
      <c r="Z591" s="12"/>
      <c r="AA591" s="13"/>
      <c r="AC591" s="14"/>
      <c r="AD591" s="15"/>
      <c r="AE591" s="14"/>
      <c r="AF591" s="14"/>
      <c r="AG591" s="12"/>
      <c r="AH591" s="13"/>
      <c r="AJ591" s="14"/>
      <c r="AK591" s="15"/>
      <c r="AL591" s="14"/>
      <c r="AM591" s="14"/>
      <c r="AN591" s="12"/>
      <c r="AO591" s="13"/>
      <c r="AQ591" s="14"/>
      <c r="AR591" s="15"/>
      <c r="AS591" s="14"/>
      <c r="AT591" s="14"/>
      <c r="AU591" s="12"/>
      <c r="AV591" s="13"/>
    </row>
    <row r="592" spans="1:48" ht="15" customHeight="1">
      <c r="A592" s="42"/>
      <c r="B592" s="43"/>
      <c r="C592" s="42"/>
      <c r="D592" s="42"/>
      <c r="E592" s="44"/>
      <c r="F592" s="20"/>
      <c r="H592" s="42"/>
      <c r="I592" s="43"/>
      <c r="J592" s="42"/>
      <c r="K592" s="42"/>
      <c r="L592" s="44"/>
      <c r="M592" s="20"/>
      <c r="O592" s="42"/>
      <c r="P592" s="43"/>
      <c r="Q592" s="42"/>
      <c r="R592" s="42"/>
      <c r="S592" s="44"/>
      <c r="T592" s="20"/>
      <c r="V592" s="42"/>
      <c r="W592" s="43"/>
      <c r="X592" s="42"/>
      <c r="Y592" s="42"/>
      <c r="Z592" s="44"/>
      <c r="AA592" s="20"/>
      <c r="AC592" s="42"/>
      <c r="AD592" s="43"/>
      <c r="AE592" s="42"/>
      <c r="AF592" s="42"/>
      <c r="AG592" s="44"/>
      <c r="AH592" s="20"/>
      <c r="AJ592" s="42"/>
      <c r="AK592" s="43"/>
      <c r="AL592" s="42"/>
      <c r="AM592" s="42"/>
      <c r="AN592" s="44"/>
      <c r="AO592" s="20"/>
      <c r="AQ592" s="42"/>
      <c r="AR592" s="43"/>
      <c r="AS592" s="42"/>
      <c r="AT592" s="42"/>
      <c r="AU592" s="44"/>
      <c r="AV592" s="20"/>
    </row>
    <row r="593" spans="1:48" ht="15" customHeight="1" thickBot="1">
      <c r="A593" s="23"/>
      <c r="B593" s="24"/>
      <c r="C593" s="23"/>
      <c r="D593" s="23"/>
      <c r="E593" s="34"/>
      <c r="F593" s="25"/>
      <c r="H593" s="23"/>
      <c r="I593" s="24"/>
      <c r="J593" s="23"/>
      <c r="K593" s="23"/>
      <c r="L593" s="34"/>
      <c r="M593" s="25"/>
      <c r="O593" s="23"/>
      <c r="P593" s="24"/>
      <c r="Q593" s="23"/>
      <c r="R593" s="23"/>
      <c r="S593" s="34"/>
      <c r="T593" s="25"/>
      <c r="V593" s="23"/>
      <c r="W593" s="24"/>
      <c r="X593" s="23"/>
      <c r="Y593" s="23"/>
      <c r="Z593" s="34"/>
      <c r="AA593" s="25"/>
      <c r="AC593" s="23"/>
      <c r="AD593" s="24"/>
      <c r="AE593" s="23"/>
      <c r="AF593" s="23"/>
      <c r="AG593" s="34"/>
      <c r="AH593" s="25"/>
      <c r="AJ593" s="23"/>
      <c r="AK593" s="24"/>
      <c r="AL593" s="23"/>
      <c r="AM593" s="23"/>
      <c r="AN593" s="34"/>
      <c r="AO593" s="25"/>
      <c r="AQ593" s="23"/>
      <c r="AR593" s="24"/>
      <c r="AS593" s="23"/>
      <c r="AT593" s="23"/>
      <c r="AU593" s="34"/>
      <c r="AV593" s="25"/>
    </row>
    <row r="594" spans="1:48" ht="15" customHeight="1" thickBot="1">
      <c r="A594" s="732" t="s">
        <v>43</v>
      </c>
      <c r="B594" s="746"/>
      <c r="C594" s="746"/>
      <c r="D594" s="746"/>
      <c r="E594" s="747"/>
      <c r="F594" s="49">
        <f>SUM(F591:F593)</f>
        <v>0</v>
      </c>
      <c r="H594" s="732" t="s">
        <v>43</v>
      </c>
      <c r="I594" s="746"/>
      <c r="J594" s="746"/>
      <c r="K594" s="746"/>
      <c r="L594" s="747"/>
      <c r="M594" s="49">
        <f>SUM(M591:M593)</f>
        <v>0</v>
      </c>
      <c r="O594" s="732" t="s">
        <v>43</v>
      </c>
      <c r="P594" s="746"/>
      <c r="Q594" s="746"/>
      <c r="R594" s="746"/>
      <c r="S594" s="747"/>
      <c r="T594" s="49">
        <f>SUM(T591:T593)</f>
        <v>0</v>
      </c>
      <c r="V594" s="732" t="s">
        <v>43</v>
      </c>
      <c r="W594" s="746"/>
      <c r="X594" s="746"/>
      <c r="Y594" s="746"/>
      <c r="Z594" s="747"/>
      <c r="AA594" s="49">
        <f>SUM(AA591:AA593)</f>
        <v>0</v>
      </c>
      <c r="AC594" s="732" t="s">
        <v>43</v>
      </c>
      <c r="AD594" s="746"/>
      <c r="AE594" s="746"/>
      <c r="AF594" s="746"/>
      <c r="AG594" s="747"/>
      <c r="AH594" s="49">
        <f>SUM(AH591:AH593)</f>
        <v>0</v>
      </c>
      <c r="AJ594" s="732" t="s">
        <v>43</v>
      </c>
      <c r="AK594" s="746"/>
      <c r="AL594" s="746"/>
      <c r="AM594" s="746"/>
      <c r="AN594" s="747"/>
      <c r="AO594" s="49">
        <f>SUM(AO591:AO593)</f>
        <v>0</v>
      </c>
      <c r="AQ594" s="732" t="s">
        <v>43</v>
      </c>
      <c r="AR594" s="746"/>
      <c r="AS594" s="746"/>
      <c r="AT594" s="746"/>
      <c r="AU594" s="747"/>
      <c r="AV594" s="49">
        <f>SUM(AV591:AV593)</f>
        <v>0</v>
      </c>
    </row>
    <row r="595" spans="1:48" ht="15" customHeight="1" thickBot="1">
      <c r="A595" s="50"/>
      <c r="B595" s="51"/>
      <c r="C595" s="52"/>
      <c r="D595" s="52"/>
      <c r="E595" s="52"/>
      <c r="F595" s="52"/>
      <c r="H595" s="50"/>
      <c r="I595" s="51"/>
      <c r="J595" s="52"/>
      <c r="K595" s="52"/>
      <c r="L595" s="52"/>
      <c r="M595" s="52"/>
      <c r="O595" s="50"/>
      <c r="P595" s="51"/>
      <c r="Q595" s="52"/>
      <c r="R595" s="52"/>
      <c r="S595" s="52"/>
      <c r="T595" s="52"/>
      <c r="V595" s="50"/>
      <c r="W595" s="51"/>
      <c r="X595" s="52"/>
      <c r="Y595" s="52"/>
      <c r="Z595" s="52"/>
      <c r="AA595" s="52"/>
      <c r="AC595" s="50"/>
      <c r="AD595" s="51"/>
      <c r="AE595" s="52"/>
      <c r="AF595" s="52"/>
      <c r="AG595" s="52"/>
      <c r="AH595" s="52"/>
      <c r="AJ595" s="50"/>
      <c r="AK595" s="51"/>
      <c r="AL595" s="52"/>
      <c r="AM595" s="52"/>
      <c r="AN595" s="52"/>
      <c r="AO595" s="52"/>
      <c r="AQ595" s="50"/>
      <c r="AR595" s="51"/>
      <c r="AS595" s="52"/>
      <c r="AT595" s="52"/>
      <c r="AU595" s="52"/>
      <c r="AV595" s="52"/>
    </row>
    <row r="596" spans="1:48" ht="15" customHeight="1" thickBot="1">
      <c r="A596" s="687" t="s">
        <v>44</v>
      </c>
      <c r="B596" s="748"/>
      <c r="C596" s="748"/>
      <c r="D596" s="748"/>
      <c r="E596" s="749"/>
      <c r="F596" s="54">
        <f>SUM(F594,F574,F579,F583,F588)</f>
        <v>336.66847157500001</v>
      </c>
      <c r="H596" s="687" t="s">
        <v>44</v>
      </c>
      <c r="I596" s="748"/>
      <c r="J596" s="748"/>
      <c r="K596" s="748"/>
      <c r="L596" s="749"/>
      <c r="M596" s="54">
        <f>SUM(M594,M574,M579,M583,M588)</f>
        <v>319.22041157499996</v>
      </c>
      <c r="O596" s="687" t="s">
        <v>44</v>
      </c>
      <c r="P596" s="748"/>
      <c r="Q596" s="748"/>
      <c r="R596" s="748"/>
      <c r="S596" s="749"/>
      <c r="T596" s="54">
        <f>SUM(T594,T574,T579,T583,T588)</f>
        <v>409.31198657499999</v>
      </c>
      <c r="V596" s="687" t="s">
        <v>44</v>
      </c>
      <c r="W596" s="748"/>
      <c r="X596" s="748"/>
      <c r="Y596" s="748"/>
      <c r="Z596" s="749"/>
      <c r="AA596" s="54">
        <f>SUM(AA594,AA574,AA579,AA583,AA588)</f>
        <v>423.66811157500001</v>
      </c>
      <c r="AC596" s="687" t="s">
        <v>44</v>
      </c>
      <c r="AD596" s="748"/>
      <c r="AE596" s="748"/>
      <c r="AF596" s="748"/>
      <c r="AG596" s="749"/>
      <c r="AH596" s="54">
        <f>SUM(AH594,AH574,AH579,AH583,AH588)</f>
        <v>434.00452157500001</v>
      </c>
      <c r="AJ596" s="687" t="s">
        <v>44</v>
      </c>
      <c r="AK596" s="748"/>
      <c r="AL596" s="748"/>
      <c r="AM596" s="748"/>
      <c r="AN596" s="749"/>
      <c r="AO596" s="54">
        <f>SUM(AO594,AO574,AO579,AO583,AO588)</f>
        <v>340.023011575</v>
      </c>
      <c r="AQ596" s="687" t="s">
        <v>44</v>
      </c>
      <c r="AR596" s="748"/>
      <c r="AS596" s="748"/>
      <c r="AT596" s="748"/>
      <c r="AU596" s="749"/>
      <c r="AV596" s="54">
        <f>SUM(AV594,AV574,AV579,AV583,AV588)</f>
        <v>464.13751157499996</v>
      </c>
    </row>
    <row r="597" spans="1:48" ht="15" customHeight="1" thickBot="1">
      <c r="A597" s="687" t="s">
        <v>45</v>
      </c>
      <c r="B597" s="688"/>
      <c r="C597" s="688"/>
      <c r="D597" s="688"/>
      <c r="E597" s="55"/>
      <c r="F597" s="54"/>
      <c r="H597" s="687" t="s">
        <v>45</v>
      </c>
      <c r="I597" s="688"/>
      <c r="J597" s="688"/>
      <c r="K597" s="688"/>
      <c r="L597" s="55"/>
      <c r="M597" s="54"/>
      <c r="O597" s="687" t="s">
        <v>45</v>
      </c>
      <c r="P597" s="688"/>
      <c r="Q597" s="688"/>
      <c r="R597" s="688"/>
      <c r="S597" s="55"/>
      <c r="T597" s="54"/>
      <c r="V597" s="687" t="s">
        <v>45</v>
      </c>
      <c r="W597" s="688"/>
      <c r="X597" s="688"/>
      <c r="Y597" s="688"/>
      <c r="Z597" s="55"/>
      <c r="AA597" s="54"/>
      <c r="AC597" s="687" t="s">
        <v>45</v>
      </c>
      <c r="AD597" s="688"/>
      <c r="AE597" s="688"/>
      <c r="AF597" s="688"/>
      <c r="AG597" s="55"/>
      <c r="AH597" s="54"/>
      <c r="AJ597" s="687" t="s">
        <v>45</v>
      </c>
      <c r="AK597" s="688"/>
      <c r="AL597" s="688"/>
      <c r="AM597" s="688"/>
      <c r="AN597" s="55"/>
      <c r="AO597" s="54"/>
      <c r="AQ597" s="687" t="s">
        <v>45</v>
      </c>
      <c r="AR597" s="688"/>
      <c r="AS597" s="688"/>
      <c r="AT597" s="688"/>
      <c r="AU597" s="55"/>
      <c r="AV597" s="54"/>
    </row>
    <row r="598" spans="1:48" ht="15" customHeight="1" thickBot="1">
      <c r="A598" s="687" t="s">
        <v>46</v>
      </c>
      <c r="B598" s="688"/>
      <c r="C598" s="688"/>
      <c r="D598" s="688"/>
      <c r="E598" s="689"/>
      <c r="F598" s="54"/>
      <c r="H598" s="687" t="s">
        <v>46</v>
      </c>
      <c r="I598" s="688"/>
      <c r="J598" s="688"/>
      <c r="K598" s="688"/>
      <c r="L598" s="689"/>
      <c r="M598" s="54"/>
      <c r="O598" s="687" t="s">
        <v>46</v>
      </c>
      <c r="P598" s="688"/>
      <c r="Q598" s="688"/>
      <c r="R598" s="688"/>
      <c r="S598" s="689"/>
      <c r="T598" s="54"/>
      <c r="V598" s="687" t="s">
        <v>46</v>
      </c>
      <c r="W598" s="688"/>
      <c r="X598" s="688"/>
      <c r="Y598" s="688"/>
      <c r="Z598" s="689"/>
      <c r="AA598" s="54"/>
      <c r="AC598" s="687" t="s">
        <v>46</v>
      </c>
      <c r="AD598" s="688"/>
      <c r="AE598" s="688"/>
      <c r="AF598" s="688"/>
      <c r="AG598" s="689"/>
      <c r="AH598" s="54"/>
      <c r="AJ598" s="687" t="s">
        <v>46</v>
      </c>
      <c r="AK598" s="688"/>
      <c r="AL598" s="688"/>
      <c r="AM598" s="688"/>
      <c r="AN598" s="689"/>
      <c r="AO598" s="54"/>
      <c r="AQ598" s="687" t="s">
        <v>46</v>
      </c>
      <c r="AR598" s="688"/>
      <c r="AS598" s="688"/>
      <c r="AT598" s="688"/>
      <c r="AU598" s="689"/>
      <c r="AV598" s="54"/>
    </row>
    <row r="599" spans="1:48" ht="15" customHeight="1" thickBot="1">
      <c r="A599" s="687" t="s">
        <v>47</v>
      </c>
      <c r="B599" s="688"/>
      <c r="C599" s="688"/>
      <c r="D599" s="688"/>
      <c r="E599" s="56"/>
      <c r="F599" s="54"/>
      <c r="H599" s="687" t="s">
        <v>47</v>
      </c>
      <c r="I599" s="688"/>
      <c r="J599" s="688"/>
      <c r="K599" s="688"/>
      <c r="L599" s="56"/>
      <c r="M599" s="54"/>
      <c r="O599" s="687" t="s">
        <v>47</v>
      </c>
      <c r="P599" s="688"/>
      <c r="Q599" s="688"/>
      <c r="R599" s="688"/>
      <c r="S599" s="56"/>
      <c r="T599" s="54"/>
      <c r="V599" s="687" t="s">
        <v>47</v>
      </c>
      <c r="W599" s="688"/>
      <c r="X599" s="688"/>
      <c r="Y599" s="688"/>
      <c r="Z599" s="56"/>
      <c r="AA599" s="54"/>
      <c r="AC599" s="687" t="s">
        <v>47</v>
      </c>
      <c r="AD599" s="688"/>
      <c r="AE599" s="688"/>
      <c r="AF599" s="688"/>
      <c r="AG599" s="56"/>
      <c r="AH599" s="54"/>
      <c r="AJ599" s="687" t="s">
        <v>47</v>
      </c>
      <c r="AK599" s="688"/>
      <c r="AL599" s="688"/>
      <c r="AM599" s="688"/>
      <c r="AN599" s="56"/>
      <c r="AO599" s="54"/>
      <c r="AQ599" s="687" t="s">
        <v>47</v>
      </c>
      <c r="AR599" s="688"/>
      <c r="AS599" s="688"/>
      <c r="AT599" s="688"/>
      <c r="AU599" s="56"/>
      <c r="AV599" s="54"/>
    </row>
    <row r="600" spans="1:48" ht="15" customHeight="1" thickBot="1">
      <c r="A600" s="687" t="s">
        <v>46</v>
      </c>
      <c r="B600" s="688"/>
      <c r="C600" s="688"/>
      <c r="D600" s="688"/>
      <c r="E600" s="689"/>
      <c r="F600" s="54"/>
      <c r="H600" s="687" t="s">
        <v>46</v>
      </c>
      <c r="I600" s="688"/>
      <c r="J600" s="688"/>
      <c r="K600" s="688"/>
      <c r="L600" s="689"/>
      <c r="M600" s="54"/>
      <c r="O600" s="687" t="s">
        <v>46</v>
      </c>
      <c r="P600" s="688"/>
      <c r="Q600" s="688"/>
      <c r="R600" s="688"/>
      <c r="S600" s="689"/>
      <c r="T600" s="54"/>
      <c r="V600" s="687" t="s">
        <v>46</v>
      </c>
      <c r="W600" s="688"/>
      <c r="X600" s="688"/>
      <c r="Y600" s="688"/>
      <c r="Z600" s="689"/>
      <c r="AA600" s="54"/>
      <c r="AC600" s="687" t="s">
        <v>46</v>
      </c>
      <c r="AD600" s="688"/>
      <c r="AE600" s="688"/>
      <c r="AF600" s="688"/>
      <c r="AG600" s="689"/>
      <c r="AH600" s="54"/>
      <c r="AJ600" s="687" t="s">
        <v>46</v>
      </c>
      <c r="AK600" s="688"/>
      <c r="AL600" s="688"/>
      <c r="AM600" s="688"/>
      <c r="AN600" s="689"/>
      <c r="AO600" s="54"/>
      <c r="AQ600" s="687" t="s">
        <v>46</v>
      </c>
      <c r="AR600" s="688"/>
      <c r="AS600" s="688"/>
      <c r="AT600" s="688"/>
      <c r="AU600" s="689"/>
      <c r="AV600" s="54"/>
    </row>
    <row r="601" spans="1:48" ht="15" customHeight="1" thickBot="1">
      <c r="A601" s="687" t="s">
        <v>48</v>
      </c>
      <c r="B601" s="688"/>
      <c r="C601" s="688"/>
      <c r="D601" s="688"/>
      <c r="E601" s="55"/>
      <c r="F601" s="54"/>
      <c r="H601" s="687" t="s">
        <v>48</v>
      </c>
      <c r="I601" s="688"/>
      <c r="J601" s="688"/>
      <c r="K601" s="688"/>
      <c r="L601" s="55"/>
      <c r="M601" s="54"/>
      <c r="O601" s="687" t="s">
        <v>48</v>
      </c>
      <c r="P601" s="688"/>
      <c r="Q601" s="688"/>
      <c r="R601" s="688"/>
      <c r="S601" s="55"/>
      <c r="T601" s="54"/>
      <c r="V601" s="687" t="s">
        <v>48</v>
      </c>
      <c r="W601" s="688"/>
      <c r="X601" s="688"/>
      <c r="Y601" s="688"/>
      <c r="Z601" s="55"/>
      <c r="AA601" s="54"/>
      <c r="AC601" s="687" t="s">
        <v>48</v>
      </c>
      <c r="AD601" s="688"/>
      <c r="AE601" s="688"/>
      <c r="AF601" s="688"/>
      <c r="AG601" s="55"/>
      <c r="AH601" s="54"/>
      <c r="AJ601" s="687" t="s">
        <v>48</v>
      </c>
      <c r="AK601" s="688"/>
      <c r="AL601" s="688"/>
      <c r="AM601" s="688"/>
      <c r="AN601" s="55"/>
      <c r="AO601" s="54"/>
      <c r="AQ601" s="687" t="s">
        <v>48</v>
      </c>
      <c r="AR601" s="688"/>
      <c r="AS601" s="688"/>
      <c r="AT601" s="688"/>
      <c r="AU601" s="55"/>
      <c r="AV601" s="54"/>
    </row>
    <row r="602" spans="1:48" ht="15" customHeight="1" thickBot="1">
      <c r="A602" s="687" t="s">
        <v>46</v>
      </c>
      <c r="B602" s="688"/>
      <c r="C602" s="688"/>
      <c r="D602" s="688"/>
      <c r="E602" s="689"/>
      <c r="F602" s="54"/>
      <c r="H602" s="687" t="s">
        <v>46</v>
      </c>
      <c r="I602" s="688"/>
      <c r="J602" s="688"/>
      <c r="K602" s="688"/>
      <c r="L602" s="689"/>
      <c r="M602" s="54"/>
      <c r="O602" s="687" t="s">
        <v>46</v>
      </c>
      <c r="P602" s="688"/>
      <c r="Q602" s="688"/>
      <c r="R602" s="688"/>
      <c r="S602" s="689"/>
      <c r="T602" s="54"/>
      <c r="V602" s="687" t="s">
        <v>46</v>
      </c>
      <c r="W602" s="688"/>
      <c r="X602" s="688"/>
      <c r="Y602" s="688"/>
      <c r="Z602" s="689"/>
      <c r="AA602" s="54"/>
      <c r="AC602" s="687" t="s">
        <v>46</v>
      </c>
      <c r="AD602" s="688"/>
      <c r="AE602" s="688"/>
      <c r="AF602" s="688"/>
      <c r="AG602" s="689"/>
      <c r="AH602" s="54"/>
      <c r="AJ602" s="687" t="s">
        <v>46</v>
      </c>
      <c r="AK602" s="688"/>
      <c r="AL602" s="688"/>
      <c r="AM602" s="688"/>
      <c r="AN602" s="689"/>
      <c r="AO602" s="54"/>
      <c r="AQ602" s="687" t="s">
        <v>46</v>
      </c>
      <c r="AR602" s="688"/>
      <c r="AS602" s="688"/>
      <c r="AT602" s="688"/>
      <c r="AU602" s="689"/>
      <c r="AV602" s="54"/>
    </row>
    <row r="603" spans="1:48" ht="15" customHeight="1" thickBot="1">
      <c r="A603" s="687" t="s">
        <v>49</v>
      </c>
      <c r="B603" s="688"/>
      <c r="C603" s="688"/>
      <c r="D603" s="688"/>
      <c r="E603" s="56"/>
      <c r="F603" s="54"/>
      <c r="H603" s="687" t="s">
        <v>49</v>
      </c>
      <c r="I603" s="688"/>
      <c r="J603" s="688"/>
      <c r="K603" s="688"/>
      <c r="L603" s="56"/>
      <c r="M603" s="54"/>
      <c r="O603" s="687" t="s">
        <v>49</v>
      </c>
      <c r="P603" s="688"/>
      <c r="Q603" s="688"/>
      <c r="R603" s="688"/>
      <c r="S603" s="56"/>
      <c r="T603" s="54"/>
      <c r="V603" s="687" t="s">
        <v>49</v>
      </c>
      <c r="W603" s="688"/>
      <c r="X603" s="688"/>
      <c r="Y603" s="688"/>
      <c r="Z603" s="56"/>
      <c r="AA603" s="54"/>
      <c r="AC603" s="687" t="s">
        <v>49</v>
      </c>
      <c r="AD603" s="688"/>
      <c r="AE603" s="688"/>
      <c r="AF603" s="688"/>
      <c r="AG603" s="56"/>
      <c r="AH603" s="54"/>
      <c r="AJ603" s="687" t="s">
        <v>49</v>
      </c>
      <c r="AK603" s="688"/>
      <c r="AL603" s="688"/>
      <c r="AM603" s="688"/>
      <c r="AN603" s="56"/>
      <c r="AO603" s="54"/>
      <c r="AQ603" s="687" t="s">
        <v>49</v>
      </c>
      <c r="AR603" s="688"/>
      <c r="AS603" s="688"/>
      <c r="AT603" s="688"/>
      <c r="AU603" s="56"/>
      <c r="AV603" s="54"/>
    </row>
    <row r="604" spans="1:48" ht="15" customHeight="1" thickBot="1">
      <c r="A604" s="690" t="s">
        <v>50</v>
      </c>
      <c r="B604" s="691"/>
      <c r="C604" s="691"/>
      <c r="D604" s="691"/>
      <c r="E604" s="692"/>
      <c r="F604" s="57"/>
      <c r="H604" s="690" t="s">
        <v>50</v>
      </c>
      <c r="I604" s="691"/>
      <c r="J604" s="691"/>
      <c r="K604" s="691"/>
      <c r="L604" s="692"/>
      <c r="M604" s="57"/>
      <c r="O604" s="690" t="s">
        <v>50</v>
      </c>
      <c r="P604" s="691"/>
      <c r="Q604" s="691"/>
      <c r="R604" s="691"/>
      <c r="S604" s="692"/>
      <c r="T604" s="57"/>
      <c r="V604" s="690" t="s">
        <v>50</v>
      </c>
      <c r="W604" s="691"/>
      <c r="X604" s="691"/>
      <c r="Y604" s="691"/>
      <c r="Z604" s="692"/>
      <c r="AA604" s="57"/>
      <c r="AC604" s="690" t="s">
        <v>50</v>
      </c>
      <c r="AD604" s="691"/>
      <c r="AE604" s="691"/>
      <c r="AF604" s="691"/>
      <c r="AG604" s="692"/>
      <c r="AH604" s="57"/>
      <c r="AJ604" s="690" t="s">
        <v>50</v>
      </c>
      <c r="AK604" s="691"/>
      <c r="AL604" s="691"/>
      <c r="AM604" s="691"/>
      <c r="AN604" s="692"/>
      <c r="AO604" s="57"/>
      <c r="AQ604" s="690" t="s">
        <v>50</v>
      </c>
      <c r="AR604" s="691"/>
      <c r="AS604" s="691"/>
      <c r="AT604" s="691"/>
      <c r="AU604" s="692"/>
      <c r="AV604" s="57"/>
    </row>
    <row r="605" spans="1:48" ht="15" customHeight="1" thickBot="1">
      <c r="A605" s="693" t="s">
        <v>1450</v>
      </c>
      <c r="B605" s="694"/>
      <c r="C605" s="694"/>
      <c r="D605" s="694"/>
      <c r="E605" s="694"/>
      <c r="F605" s="695"/>
      <c r="H605" s="693" t="s">
        <v>1451</v>
      </c>
      <c r="I605" s="694"/>
      <c r="J605" s="694"/>
      <c r="K605" s="694"/>
      <c r="L605" s="694"/>
      <c r="M605" s="695"/>
      <c r="O605" s="693" t="s">
        <v>1452</v>
      </c>
      <c r="P605" s="694"/>
      <c r="Q605" s="694"/>
      <c r="R605" s="694"/>
      <c r="S605" s="694"/>
      <c r="T605" s="695"/>
      <c r="V605" s="693" t="s">
        <v>1453</v>
      </c>
      <c r="W605" s="694"/>
      <c r="X605" s="694"/>
      <c r="Y605" s="694"/>
      <c r="Z605" s="694"/>
      <c r="AA605" s="695"/>
      <c r="AC605" s="693" t="s">
        <v>1454</v>
      </c>
      <c r="AD605" s="694"/>
      <c r="AE605" s="694"/>
      <c r="AF605" s="694"/>
      <c r="AG605" s="694"/>
      <c r="AH605" s="695"/>
      <c r="AJ605" s="693" t="s">
        <v>1455</v>
      </c>
      <c r="AK605" s="694"/>
      <c r="AL605" s="694"/>
      <c r="AM605" s="694"/>
      <c r="AN605" s="694"/>
      <c r="AO605" s="695"/>
      <c r="AQ605" s="693" t="s">
        <v>1456</v>
      </c>
      <c r="AR605" s="694"/>
      <c r="AS605" s="694"/>
      <c r="AT605" s="694"/>
      <c r="AU605" s="694"/>
      <c r="AV605" s="695"/>
    </row>
    <row r="606" spans="1:48" ht="15" customHeight="1" thickBot="1"/>
    <row r="607" spans="1:48" ht="26.4" thickBot="1">
      <c r="A607" s="696" t="s">
        <v>0</v>
      </c>
      <c r="B607" s="697"/>
      <c r="C607" s="697"/>
      <c r="D607" s="697"/>
      <c r="E607" s="697"/>
      <c r="F607" s="698"/>
      <c r="H607" s="696" t="s">
        <v>0</v>
      </c>
      <c r="I607" s="697"/>
      <c r="J607" s="697"/>
      <c r="K607" s="697"/>
      <c r="L607" s="697"/>
      <c r="M607" s="698"/>
      <c r="O607" s="696" t="s">
        <v>0</v>
      </c>
      <c r="P607" s="697"/>
      <c r="Q607" s="697"/>
      <c r="R607" s="697"/>
      <c r="S607" s="697"/>
      <c r="T607" s="698"/>
      <c r="V607" s="696" t="s">
        <v>0</v>
      </c>
      <c r="W607" s="697"/>
      <c r="X607" s="697"/>
      <c r="Y607" s="697"/>
      <c r="Z607" s="697"/>
      <c r="AA607" s="698"/>
    </row>
    <row r="608" spans="1:48" ht="18.600000000000001" thickBot="1">
      <c r="A608" s="3" t="s">
        <v>1</v>
      </c>
      <c r="B608" s="693" t="s">
        <v>2</v>
      </c>
      <c r="C608" s="694"/>
      <c r="D608" s="694"/>
      <c r="E608" s="695"/>
      <c r="F608" s="3" t="s">
        <v>3</v>
      </c>
      <c r="H608" s="3" t="s">
        <v>1</v>
      </c>
      <c r="I608" s="693" t="s">
        <v>2</v>
      </c>
      <c r="J608" s="694"/>
      <c r="K608" s="694"/>
      <c r="L608" s="695"/>
      <c r="M608" s="3" t="s">
        <v>3</v>
      </c>
      <c r="O608" s="3" t="s">
        <v>1</v>
      </c>
      <c r="P608" s="693" t="s">
        <v>2</v>
      </c>
      <c r="Q608" s="694"/>
      <c r="R608" s="694"/>
      <c r="S608" s="695"/>
      <c r="T608" s="3" t="s">
        <v>3</v>
      </c>
      <c r="V608" s="3" t="s">
        <v>1</v>
      </c>
      <c r="W608" s="693" t="s">
        <v>2</v>
      </c>
      <c r="X608" s="694"/>
      <c r="Y608" s="694"/>
      <c r="Z608" s="695"/>
      <c r="AA608" s="3" t="s">
        <v>3</v>
      </c>
    </row>
    <row r="609" spans="1:27" ht="109.5" customHeight="1" thickBot="1">
      <c r="A609" s="5" t="s">
        <v>1049</v>
      </c>
      <c r="B609" s="743" t="s">
        <v>1203</v>
      </c>
      <c r="C609" s="744"/>
      <c r="D609" s="744"/>
      <c r="E609" s="745"/>
      <c r="F609" s="5" t="s">
        <v>64</v>
      </c>
      <c r="H609" s="5" t="s">
        <v>1204</v>
      </c>
      <c r="I609" s="743" t="s">
        <v>1288</v>
      </c>
      <c r="J609" s="744"/>
      <c r="K609" s="744"/>
      <c r="L609" s="745"/>
      <c r="M609" s="5" t="s">
        <v>64</v>
      </c>
      <c r="O609" s="5" t="s">
        <v>1206</v>
      </c>
      <c r="P609" s="743" t="s">
        <v>1299</v>
      </c>
      <c r="Q609" s="744"/>
      <c r="R609" s="744"/>
      <c r="S609" s="745"/>
      <c r="T609" s="5" t="s">
        <v>64</v>
      </c>
      <c r="V609" s="5" t="s">
        <v>1207</v>
      </c>
      <c r="W609" s="743" t="s">
        <v>1208</v>
      </c>
      <c r="X609" s="744"/>
      <c r="Y609" s="744"/>
      <c r="Z609" s="745"/>
      <c r="AA609" s="5" t="s">
        <v>64</v>
      </c>
    </row>
    <row r="610" spans="1:27" ht="15" customHeight="1" thickBot="1">
      <c r="A610" s="705" t="s">
        <v>8</v>
      </c>
      <c r="B610" s="706"/>
      <c r="C610" s="706"/>
      <c r="D610" s="706"/>
      <c r="E610" s="706"/>
      <c r="F610" s="707"/>
      <c r="H610" s="705" t="s">
        <v>8</v>
      </c>
      <c r="I610" s="706"/>
      <c r="J610" s="706"/>
      <c r="K610" s="706"/>
      <c r="L610" s="706"/>
      <c r="M610" s="707"/>
      <c r="O610" s="705" t="s">
        <v>8</v>
      </c>
      <c r="P610" s="706"/>
      <c r="Q610" s="706"/>
      <c r="R610" s="706"/>
      <c r="S610" s="706"/>
      <c r="T610" s="707"/>
      <c r="V610" s="705" t="s">
        <v>8</v>
      </c>
      <c r="W610" s="706"/>
      <c r="X610" s="706"/>
      <c r="Y610" s="706"/>
      <c r="Z610" s="706"/>
      <c r="AA610" s="707"/>
    </row>
    <row r="611" spans="1:27" ht="15" customHeight="1" thickBot="1">
      <c r="A611" s="8" t="s">
        <v>1</v>
      </c>
      <c r="B611" s="5" t="s">
        <v>2</v>
      </c>
      <c r="C611" s="8" t="s">
        <v>3</v>
      </c>
      <c r="D611" s="8" t="s">
        <v>9</v>
      </c>
      <c r="E611" s="8" t="s">
        <v>10</v>
      </c>
      <c r="F611" s="8" t="s">
        <v>11</v>
      </c>
      <c r="H611" s="8" t="s">
        <v>1</v>
      </c>
      <c r="I611" s="5" t="s">
        <v>2</v>
      </c>
      <c r="J611" s="8" t="s">
        <v>3</v>
      </c>
      <c r="K611" s="8" t="s">
        <v>9</v>
      </c>
      <c r="L611" s="8" t="s">
        <v>10</v>
      </c>
      <c r="M611" s="8" t="s">
        <v>11</v>
      </c>
      <c r="O611" s="8" t="s">
        <v>1</v>
      </c>
      <c r="P611" s="5" t="s">
        <v>2</v>
      </c>
      <c r="Q611" s="8" t="s">
        <v>3</v>
      </c>
      <c r="R611" s="8" t="s">
        <v>9</v>
      </c>
      <c r="S611" s="8" t="s">
        <v>10</v>
      </c>
      <c r="T611" s="8" t="s">
        <v>11</v>
      </c>
      <c r="V611" s="8" t="s">
        <v>1</v>
      </c>
      <c r="W611" s="5" t="s">
        <v>2</v>
      </c>
      <c r="X611" s="8" t="s">
        <v>3</v>
      </c>
      <c r="Y611" s="8" t="s">
        <v>9</v>
      </c>
      <c r="Z611" s="8" t="s">
        <v>10</v>
      </c>
      <c r="AA611" s="8" t="s">
        <v>11</v>
      </c>
    </row>
    <row r="612" spans="1:27" ht="15" customHeight="1" thickBot="1">
      <c r="A612" s="463" t="s">
        <v>1007</v>
      </c>
      <c r="B612" s="459" t="s">
        <v>1001</v>
      </c>
      <c r="C612" s="9" t="s">
        <v>64</v>
      </c>
      <c r="D612" s="11">
        <v>1</v>
      </c>
      <c r="E612" s="12">
        <f>MATERIALES!E546</f>
        <v>0</v>
      </c>
      <c r="F612" s="13">
        <f t="shared" ref="F612:F617" si="26">D612*E612</f>
        <v>0</v>
      </c>
      <c r="H612" s="463" t="s">
        <v>994</v>
      </c>
      <c r="I612" s="459" t="s">
        <v>1292</v>
      </c>
      <c r="J612" s="9" t="s">
        <v>64</v>
      </c>
      <c r="K612" s="11">
        <v>1</v>
      </c>
      <c r="L612" s="12">
        <f>MATERIALES!E192</f>
        <v>1456.9</v>
      </c>
      <c r="M612" s="13">
        <f t="shared" ref="M612:M615" si="27">K612*L612</f>
        <v>1456.9</v>
      </c>
      <c r="O612" s="463" t="s">
        <v>1297</v>
      </c>
      <c r="P612" s="459" t="s">
        <v>1301</v>
      </c>
      <c r="Q612" s="9" t="s">
        <v>64</v>
      </c>
      <c r="R612" s="11">
        <v>1</v>
      </c>
      <c r="S612" s="12">
        <f>MATERIALES!E212</f>
        <v>887.07</v>
      </c>
      <c r="T612" s="13">
        <f t="shared" ref="T612:T615" si="28">R612*S612</f>
        <v>887.07</v>
      </c>
      <c r="V612" s="463" t="s">
        <v>111</v>
      </c>
      <c r="W612" s="459" t="s">
        <v>1307</v>
      </c>
      <c r="X612" s="9" t="s">
        <v>64</v>
      </c>
      <c r="Y612" s="11">
        <v>1</v>
      </c>
      <c r="Z612" s="12">
        <f>MATERIALES!E213</f>
        <v>3103.45</v>
      </c>
      <c r="AA612" s="13">
        <f t="shared" ref="AA612:AA613" si="29">Y612*Z612</f>
        <v>3103.45</v>
      </c>
    </row>
    <row r="613" spans="1:27" ht="15" customHeight="1" thickBot="1">
      <c r="A613" s="466" t="s">
        <v>495</v>
      </c>
      <c r="B613" s="460" t="s">
        <v>1002</v>
      </c>
      <c r="C613" s="16" t="s">
        <v>64</v>
      </c>
      <c r="D613" s="18">
        <v>1</v>
      </c>
      <c r="E613" s="20">
        <f>MATERIALES!E79</f>
        <v>20.25</v>
      </c>
      <c r="F613" s="20">
        <f t="shared" si="26"/>
        <v>20.25</v>
      </c>
      <c r="H613" s="466" t="s">
        <v>500</v>
      </c>
      <c r="I613" s="460" t="s">
        <v>1293</v>
      </c>
      <c r="J613" s="16" t="s">
        <v>64</v>
      </c>
      <c r="K613" s="18">
        <v>1</v>
      </c>
      <c r="L613" s="20">
        <f>MATERIALES!E81:E81</f>
        <v>778.12</v>
      </c>
      <c r="M613" s="13">
        <f t="shared" si="27"/>
        <v>778.12</v>
      </c>
      <c r="O613" s="466" t="s">
        <v>500</v>
      </c>
      <c r="P613" s="460" t="s">
        <v>1293</v>
      </c>
      <c r="Q613" s="16" t="s">
        <v>64</v>
      </c>
      <c r="R613" s="18">
        <v>1</v>
      </c>
      <c r="S613" s="20">
        <f>MATERIALES!E81</f>
        <v>778.12</v>
      </c>
      <c r="T613" s="13">
        <f t="shared" si="28"/>
        <v>778.12</v>
      </c>
      <c r="V613" s="466" t="s">
        <v>1305</v>
      </c>
      <c r="W613" s="460" t="s">
        <v>1308</v>
      </c>
      <c r="X613" s="16" t="s">
        <v>64</v>
      </c>
      <c r="Y613" s="18">
        <v>1</v>
      </c>
      <c r="Z613" s="20">
        <f>MATERIALES!E214</f>
        <v>169.17</v>
      </c>
      <c r="AA613" s="13">
        <f t="shared" si="29"/>
        <v>169.17</v>
      </c>
    </row>
    <row r="614" spans="1:27" ht="15" customHeight="1" thickBot="1">
      <c r="A614" s="466" t="s">
        <v>1008</v>
      </c>
      <c r="B614" s="460" t="s">
        <v>1003</v>
      </c>
      <c r="C614" s="16" t="s">
        <v>64</v>
      </c>
      <c r="D614" s="18">
        <v>1</v>
      </c>
      <c r="E614" s="20">
        <f>MATERIALES!E82</f>
        <v>343.96</v>
      </c>
      <c r="F614" s="20">
        <f t="shared" si="26"/>
        <v>343.96</v>
      </c>
      <c r="H614" s="466" t="s">
        <v>1289</v>
      </c>
      <c r="I614" s="460" t="s">
        <v>1294</v>
      </c>
      <c r="J614" s="16" t="s">
        <v>64</v>
      </c>
      <c r="K614" s="18">
        <v>1</v>
      </c>
      <c r="L614" s="20">
        <f>MATERIALES!E210</f>
        <v>688.79</v>
      </c>
      <c r="M614" s="13">
        <f t="shared" si="27"/>
        <v>688.79</v>
      </c>
      <c r="O614" s="466" t="s">
        <v>1296</v>
      </c>
      <c r="P614" s="460" t="s">
        <v>1302</v>
      </c>
      <c r="Q614" s="16" t="s">
        <v>64</v>
      </c>
      <c r="R614" s="18">
        <v>1</v>
      </c>
      <c r="S614" s="20">
        <f>MATERIALES!E80</f>
        <v>1840.51</v>
      </c>
      <c r="T614" s="13">
        <f t="shared" si="28"/>
        <v>1840.51</v>
      </c>
      <c r="V614" s="466"/>
      <c r="W614" s="460"/>
      <c r="X614" s="16"/>
      <c r="Y614" s="18"/>
      <c r="Z614" s="20"/>
      <c r="AA614" s="13"/>
    </row>
    <row r="615" spans="1:27" ht="15" customHeight="1">
      <c r="A615" s="462" t="s">
        <v>422</v>
      </c>
      <c r="B615" s="461" t="s">
        <v>1009</v>
      </c>
      <c r="C615" s="21" t="s">
        <v>64</v>
      </c>
      <c r="D615" s="21">
        <v>1</v>
      </c>
      <c r="E615" s="20">
        <f>MATERIALES!E51</f>
        <v>60.34</v>
      </c>
      <c r="F615" s="20">
        <f t="shared" si="26"/>
        <v>60.34</v>
      </c>
      <c r="H615" s="462" t="s">
        <v>1303</v>
      </c>
      <c r="I615" s="461" t="s">
        <v>1295</v>
      </c>
      <c r="J615" s="21" t="s">
        <v>1006</v>
      </c>
      <c r="K615" s="21">
        <v>1</v>
      </c>
      <c r="L615" s="20">
        <f>MATERIALES!E211</f>
        <v>25.6</v>
      </c>
      <c r="M615" s="13">
        <f t="shared" si="27"/>
        <v>25.6</v>
      </c>
      <c r="O615" s="462" t="s">
        <v>1303</v>
      </c>
      <c r="P615" s="461" t="s">
        <v>1295</v>
      </c>
      <c r="Q615" s="21" t="s">
        <v>1006</v>
      </c>
      <c r="R615" s="21">
        <v>1</v>
      </c>
      <c r="S615" s="20">
        <f>MATERIALES!E211</f>
        <v>25.6</v>
      </c>
      <c r="T615" s="13">
        <f t="shared" si="28"/>
        <v>25.6</v>
      </c>
      <c r="V615" s="462"/>
      <c r="W615" s="461"/>
      <c r="X615" s="21"/>
      <c r="Y615" s="21"/>
      <c r="Z615" s="20"/>
      <c r="AA615" s="13"/>
    </row>
    <row r="616" spans="1:27" ht="15" customHeight="1">
      <c r="A616" s="462" t="s">
        <v>1010</v>
      </c>
      <c r="B616" s="461" t="s">
        <v>1004</v>
      </c>
      <c r="C616" s="462" t="s">
        <v>64</v>
      </c>
      <c r="D616" s="21">
        <v>1</v>
      </c>
      <c r="E616" s="20">
        <f>MATERIALES!E50</f>
        <v>99.14</v>
      </c>
      <c r="F616" s="20">
        <f t="shared" si="26"/>
        <v>99.14</v>
      </c>
      <c r="H616" s="462"/>
      <c r="I616" s="461"/>
      <c r="J616" s="462"/>
      <c r="K616" s="21"/>
      <c r="L616" s="20"/>
      <c r="M616" s="20"/>
      <c r="O616" s="462"/>
      <c r="P616" s="461"/>
      <c r="Q616" s="462"/>
      <c r="R616" s="21"/>
      <c r="S616" s="20"/>
      <c r="T616" s="20"/>
      <c r="V616" s="462"/>
      <c r="W616" s="461"/>
      <c r="X616" s="462"/>
      <c r="Y616" s="21"/>
      <c r="Z616" s="20"/>
      <c r="AA616" s="20"/>
    </row>
    <row r="617" spans="1:27" ht="15" customHeight="1">
      <c r="A617" s="462" t="s">
        <v>402</v>
      </c>
      <c r="B617" s="461" t="s">
        <v>1005</v>
      </c>
      <c r="C617" s="462" t="s">
        <v>1006</v>
      </c>
      <c r="D617" s="21">
        <v>1</v>
      </c>
      <c r="E617" s="20">
        <f>MATERIALES!E44</f>
        <v>34.4</v>
      </c>
      <c r="F617" s="20">
        <f t="shared" si="26"/>
        <v>34.4</v>
      </c>
      <c r="H617" s="462"/>
      <c r="I617" s="461"/>
      <c r="J617" s="462"/>
      <c r="K617" s="21"/>
      <c r="L617" s="20"/>
      <c r="M617" s="20"/>
      <c r="O617" s="462"/>
      <c r="P617" s="461"/>
      <c r="Q617" s="462"/>
      <c r="R617" s="21"/>
      <c r="S617" s="20"/>
      <c r="T617" s="20"/>
      <c r="V617" s="462"/>
      <c r="W617" s="461"/>
      <c r="X617" s="462"/>
      <c r="Y617" s="21"/>
      <c r="Z617" s="20"/>
      <c r="AA617" s="20"/>
    </row>
    <row r="618" spans="1:27" ht="15" customHeight="1" thickBot="1">
      <c r="A618" s="23"/>
      <c r="B618" s="24"/>
      <c r="C618" s="23"/>
      <c r="D618" s="23"/>
      <c r="E618" s="25"/>
      <c r="F618" s="25"/>
      <c r="H618" s="23"/>
      <c r="I618" s="24"/>
      <c r="J618" s="23"/>
      <c r="K618" s="23"/>
      <c r="L618" s="25"/>
      <c r="M618" s="25"/>
      <c r="O618" s="23"/>
      <c r="P618" s="24"/>
      <c r="Q618" s="23"/>
      <c r="R618" s="23"/>
      <c r="S618" s="25"/>
      <c r="T618" s="25"/>
      <c r="V618" s="23"/>
      <c r="W618" s="24"/>
      <c r="X618" s="23"/>
      <c r="Y618" s="23"/>
      <c r="Z618" s="25"/>
      <c r="AA618" s="25"/>
    </row>
    <row r="619" spans="1:27" ht="15" customHeight="1" thickBot="1">
      <c r="A619" s="708" t="s">
        <v>18</v>
      </c>
      <c r="B619" s="709"/>
      <c r="C619" s="709"/>
      <c r="D619" s="709"/>
      <c r="E619" s="710"/>
      <c r="F619" s="26">
        <f>SUM(F612:F618)</f>
        <v>558.08999999999992</v>
      </c>
      <c r="H619" s="708" t="s">
        <v>18</v>
      </c>
      <c r="I619" s="709"/>
      <c r="J619" s="709"/>
      <c r="K619" s="709"/>
      <c r="L619" s="710"/>
      <c r="M619" s="26">
        <f>SUM(M612:M618)</f>
        <v>2949.41</v>
      </c>
      <c r="O619" s="708" t="s">
        <v>18</v>
      </c>
      <c r="P619" s="709"/>
      <c r="Q619" s="709"/>
      <c r="R619" s="709"/>
      <c r="S619" s="710"/>
      <c r="T619" s="26">
        <f>SUM(T612:T618)</f>
        <v>3531.2999999999997</v>
      </c>
      <c r="V619" s="708" t="s">
        <v>18</v>
      </c>
      <c r="W619" s="709"/>
      <c r="X619" s="709"/>
      <c r="Y619" s="709"/>
      <c r="Z619" s="710"/>
      <c r="AA619" s="26">
        <f>SUM(AA612:AA618)</f>
        <v>3272.62</v>
      </c>
    </row>
    <row r="620" spans="1:27" ht="15" customHeight="1" thickBot="1">
      <c r="A620" s="711" t="s">
        <v>19</v>
      </c>
      <c r="B620" s="712"/>
      <c r="C620" s="712"/>
      <c r="D620" s="712"/>
      <c r="E620" s="712"/>
      <c r="F620" s="713"/>
      <c r="H620" s="711" t="s">
        <v>19</v>
      </c>
      <c r="I620" s="712"/>
      <c r="J620" s="712"/>
      <c r="K620" s="712"/>
      <c r="L620" s="712"/>
      <c r="M620" s="713"/>
      <c r="O620" s="711" t="s">
        <v>19</v>
      </c>
      <c r="P620" s="712"/>
      <c r="Q620" s="712"/>
      <c r="R620" s="712"/>
      <c r="S620" s="712"/>
      <c r="T620" s="713"/>
      <c r="V620" s="711" t="s">
        <v>19</v>
      </c>
      <c r="W620" s="712"/>
      <c r="X620" s="712"/>
      <c r="Y620" s="712"/>
      <c r="Z620" s="712"/>
      <c r="AA620" s="713"/>
    </row>
    <row r="621" spans="1:27" ht="15" customHeight="1" thickBot="1">
      <c r="A621" s="8" t="s">
        <v>1</v>
      </c>
      <c r="B621" s="5" t="s">
        <v>2</v>
      </c>
      <c r="C621" s="8" t="s">
        <v>3</v>
      </c>
      <c r="D621" s="8" t="s">
        <v>9</v>
      </c>
      <c r="E621" s="8" t="s">
        <v>10</v>
      </c>
      <c r="F621" s="8" t="s">
        <v>11</v>
      </c>
      <c r="H621" s="8" t="s">
        <v>1</v>
      </c>
      <c r="I621" s="5" t="s">
        <v>2</v>
      </c>
      <c r="J621" s="8" t="s">
        <v>3</v>
      </c>
      <c r="K621" s="8" t="s">
        <v>9</v>
      </c>
      <c r="L621" s="8" t="s">
        <v>10</v>
      </c>
      <c r="M621" s="8" t="s">
        <v>11</v>
      </c>
      <c r="O621" s="8" t="s">
        <v>1</v>
      </c>
      <c r="P621" s="5" t="s">
        <v>2</v>
      </c>
      <c r="Q621" s="8" t="s">
        <v>3</v>
      </c>
      <c r="R621" s="8" t="s">
        <v>9</v>
      </c>
      <c r="S621" s="8" t="s">
        <v>10</v>
      </c>
      <c r="T621" s="8" t="s">
        <v>11</v>
      </c>
      <c r="V621" s="8" t="s">
        <v>1</v>
      </c>
      <c r="W621" s="5" t="s">
        <v>2</v>
      </c>
      <c r="X621" s="8" t="s">
        <v>3</v>
      </c>
      <c r="Y621" s="8" t="s">
        <v>9</v>
      </c>
      <c r="Z621" s="8" t="s">
        <v>10</v>
      </c>
      <c r="AA621" s="8" t="s">
        <v>11</v>
      </c>
    </row>
    <row r="622" spans="1:27" ht="15" customHeight="1">
      <c r="A622" s="463" t="s">
        <v>1013</v>
      </c>
      <c r="B622" s="459" t="s">
        <v>1015</v>
      </c>
      <c r="C622" s="9" t="s">
        <v>21</v>
      </c>
      <c r="D622" s="27">
        <f>1/4</f>
        <v>0.25</v>
      </c>
      <c r="E622" s="12">
        <f>'ANÁLISIS CUADRILLAS'!F56</f>
        <v>1160.5378059999998</v>
      </c>
      <c r="F622" s="13">
        <f>D622*E622</f>
        <v>290.13445149999995</v>
      </c>
      <c r="H622" s="463" t="s">
        <v>1013</v>
      </c>
      <c r="I622" s="459" t="s">
        <v>1015</v>
      </c>
      <c r="J622" s="9" t="s">
        <v>21</v>
      </c>
      <c r="K622" s="27">
        <f>1/4</f>
        <v>0.25</v>
      </c>
      <c r="L622" s="12">
        <f>'ANÁLISIS CUADRILLAS'!F56</f>
        <v>1160.5378059999998</v>
      </c>
      <c r="M622" s="13">
        <f>K622*L622</f>
        <v>290.13445149999995</v>
      </c>
      <c r="O622" s="463" t="s">
        <v>1013</v>
      </c>
      <c r="P622" s="459" t="s">
        <v>1015</v>
      </c>
      <c r="Q622" s="9" t="s">
        <v>21</v>
      </c>
      <c r="R622" s="27">
        <f>1/4</f>
        <v>0.25</v>
      </c>
      <c r="S622" s="12">
        <f>'ANÁLISIS CUADRILLAS'!F56</f>
        <v>1160.5378059999998</v>
      </c>
      <c r="T622" s="13">
        <f>R622*S622</f>
        <v>290.13445149999995</v>
      </c>
      <c r="V622" s="463" t="s">
        <v>1013</v>
      </c>
      <c r="W622" s="459" t="s">
        <v>1015</v>
      </c>
      <c r="X622" s="9" t="s">
        <v>21</v>
      </c>
      <c r="Y622" s="27">
        <f>1/4</f>
        <v>0.25</v>
      </c>
      <c r="Z622" s="12">
        <f>'ANÁLISIS CUADRILLAS'!F56</f>
        <v>1160.5378059999998</v>
      </c>
      <c r="AA622" s="13">
        <f>Y622*Z622</f>
        <v>290.13445149999995</v>
      </c>
    </row>
    <row r="623" spans="1:27" ht="15" customHeight="1" thickBot="1">
      <c r="A623" s="23"/>
      <c r="B623" s="24"/>
      <c r="C623" s="23"/>
      <c r="D623" s="23"/>
      <c r="E623" s="25"/>
      <c r="F623" s="25"/>
      <c r="H623" s="23"/>
      <c r="I623" s="24"/>
      <c r="J623" s="23"/>
      <c r="K623" s="23"/>
      <c r="L623" s="25"/>
      <c r="M623" s="25"/>
      <c r="O623" s="23"/>
      <c r="P623" s="24"/>
      <c r="Q623" s="23"/>
      <c r="R623" s="23"/>
      <c r="S623" s="25"/>
      <c r="T623" s="25"/>
      <c r="V623" s="23"/>
      <c r="W623" s="24"/>
      <c r="X623" s="23"/>
      <c r="Y623" s="23"/>
      <c r="Z623" s="25"/>
      <c r="AA623" s="25"/>
    </row>
    <row r="624" spans="1:27" ht="15" customHeight="1" thickBot="1">
      <c r="A624" s="714" t="s">
        <v>18</v>
      </c>
      <c r="B624" s="715"/>
      <c r="C624" s="715"/>
      <c r="D624" s="715"/>
      <c r="E624" s="716"/>
      <c r="F624" s="35">
        <f>SUM(F622:F623)</f>
        <v>290.13445149999995</v>
      </c>
      <c r="H624" s="714" t="s">
        <v>18</v>
      </c>
      <c r="I624" s="715"/>
      <c r="J624" s="715"/>
      <c r="K624" s="715"/>
      <c r="L624" s="716"/>
      <c r="M624" s="35">
        <f>SUM(M622:M623)</f>
        <v>290.13445149999995</v>
      </c>
      <c r="O624" s="714" t="s">
        <v>18</v>
      </c>
      <c r="P624" s="715"/>
      <c r="Q624" s="715"/>
      <c r="R624" s="715"/>
      <c r="S624" s="716"/>
      <c r="T624" s="35">
        <f>SUM(T622:T623)</f>
        <v>290.13445149999995</v>
      </c>
      <c r="V624" s="714" t="s">
        <v>18</v>
      </c>
      <c r="W624" s="715"/>
      <c r="X624" s="715"/>
      <c r="Y624" s="715"/>
      <c r="Z624" s="716"/>
      <c r="AA624" s="35">
        <f>SUM(AA622:AA623)</f>
        <v>290.13445149999995</v>
      </c>
    </row>
    <row r="625" spans="1:27" ht="15" customHeight="1" thickBot="1">
      <c r="A625" s="717" t="s">
        <v>23</v>
      </c>
      <c r="B625" s="718"/>
      <c r="C625" s="718"/>
      <c r="D625" s="718"/>
      <c r="E625" s="718"/>
      <c r="F625" s="719"/>
      <c r="H625" s="717" t="s">
        <v>23</v>
      </c>
      <c r="I625" s="718"/>
      <c r="J625" s="718"/>
      <c r="K625" s="718"/>
      <c r="L625" s="718"/>
      <c r="M625" s="719"/>
      <c r="O625" s="717" t="s">
        <v>23</v>
      </c>
      <c r="P625" s="718"/>
      <c r="Q625" s="718"/>
      <c r="R625" s="718"/>
      <c r="S625" s="718"/>
      <c r="T625" s="719"/>
      <c r="V625" s="717" t="s">
        <v>23</v>
      </c>
      <c r="W625" s="718"/>
      <c r="X625" s="718"/>
      <c r="Y625" s="718"/>
      <c r="Z625" s="718"/>
      <c r="AA625" s="719"/>
    </row>
    <row r="626" spans="1:27" ht="15" customHeight="1" thickBot="1">
      <c r="A626" s="8" t="s">
        <v>1</v>
      </c>
      <c r="B626" s="5" t="s">
        <v>2</v>
      </c>
      <c r="C626" s="8" t="s">
        <v>3</v>
      </c>
      <c r="D626" s="8" t="s">
        <v>9</v>
      </c>
      <c r="E626" s="8" t="s">
        <v>10</v>
      </c>
      <c r="F626" s="8" t="s">
        <v>11</v>
      </c>
      <c r="H626" s="8" t="s">
        <v>1</v>
      </c>
      <c r="I626" s="5" t="s">
        <v>2</v>
      </c>
      <c r="J626" s="8" t="s">
        <v>3</v>
      </c>
      <c r="K626" s="8" t="s">
        <v>9</v>
      </c>
      <c r="L626" s="8" t="s">
        <v>10</v>
      </c>
      <c r="M626" s="8" t="s">
        <v>11</v>
      </c>
      <c r="O626" s="8" t="s">
        <v>1</v>
      </c>
      <c r="P626" s="5" t="s">
        <v>2</v>
      </c>
      <c r="Q626" s="8" t="s">
        <v>3</v>
      </c>
      <c r="R626" s="8" t="s">
        <v>9</v>
      </c>
      <c r="S626" s="8" t="s">
        <v>10</v>
      </c>
      <c r="T626" s="8" t="s">
        <v>11</v>
      </c>
      <c r="V626" s="8" t="s">
        <v>1</v>
      </c>
      <c r="W626" s="5" t="s">
        <v>2</v>
      </c>
      <c r="X626" s="8" t="s">
        <v>3</v>
      </c>
      <c r="Y626" s="8" t="s">
        <v>9</v>
      </c>
      <c r="Z626" s="8" t="s">
        <v>10</v>
      </c>
      <c r="AA626" s="8" t="s">
        <v>11</v>
      </c>
    </row>
    <row r="627" spans="1:27" ht="15" customHeight="1" thickBot="1">
      <c r="A627" s="36" t="s">
        <v>24</v>
      </c>
      <c r="B627" s="37" t="s">
        <v>23</v>
      </c>
      <c r="C627" s="36" t="s">
        <v>25</v>
      </c>
      <c r="D627" s="38">
        <v>0.03</v>
      </c>
      <c r="E627" s="39">
        <f>F622</f>
        <v>290.13445149999995</v>
      </c>
      <c r="F627" s="39">
        <f>(D627*E627)</f>
        <v>8.7040335449999979</v>
      </c>
      <c r="H627" s="36" t="s">
        <v>24</v>
      </c>
      <c r="I627" s="37" t="s">
        <v>23</v>
      </c>
      <c r="J627" s="36" t="s">
        <v>25</v>
      </c>
      <c r="K627" s="38">
        <v>0.03</v>
      </c>
      <c r="L627" s="39">
        <f>M622</f>
        <v>290.13445149999995</v>
      </c>
      <c r="M627" s="39">
        <f>(K627*L627)</f>
        <v>8.7040335449999979</v>
      </c>
      <c r="O627" s="36" t="s">
        <v>24</v>
      </c>
      <c r="P627" s="37" t="s">
        <v>23</v>
      </c>
      <c r="Q627" s="36" t="s">
        <v>25</v>
      </c>
      <c r="R627" s="38">
        <v>0.03</v>
      </c>
      <c r="S627" s="39">
        <f>T622</f>
        <v>290.13445149999995</v>
      </c>
      <c r="T627" s="39">
        <f>(R627*S627)</f>
        <v>8.7040335449999979</v>
      </c>
      <c r="V627" s="36" t="s">
        <v>24</v>
      </c>
      <c r="W627" s="37" t="s">
        <v>23</v>
      </c>
      <c r="X627" s="36" t="s">
        <v>25</v>
      </c>
      <c r="Y627" s="38">
        <v>0.03</v>
      </c>
      <c r="Z627" s="39">
        <f>AA622</f>
        <v>290.13445149999995</v>
      </c>
      <c r="AA627" s="39">
        <f>(Y627*Z627)</f>
        <v>8.7040335449999979</v>
      </c>
    </row>
    <row r="628" spans="1:27" ht="15" customHeight="1" thickBot="1">
      <c r="A628" s="720" t="s">
        <v>26</v>
      </c>
      <c r="B628" s="721"/>
      <c r="C628" s="721"/>
      <c r="D628" s="721"/>
      <c r="E628" s="722"/>
      <c r="F628" s="40">
        <f>SUM(F627)</f>
        <v>8.7040335449999979</v>
      </c>
      <c r="H628" s="720" t="s">
        <v>26</v>
      </c>
      <c r="I628" s="721"/>
      <c r="J628" s="721"/>
      <c r="K628" s="721"/>
      <c r="L628" s="722"/>
      <c r="M628" s="40">
        <f>SUM(M627)</f>
        <v>8.7040335449999979</v>
      </c>
      <c r="O628" s="720" t="s">
        <v>26</v>
      </c>
      <c r="P628" s="721"/>
      <c r="Q628" s="721"/>
      <c r="R628" s="721"/>
      <c r="S628" s="722"/>
      <c r="T628" s="40">
        <f>SUM(T627)</f>
        <v>8.7040335449999979</v>
      </c>
      <c r="V628" s="720" t="s">
        <v>26</v>
      </c>
      <c r="W628" s="721"/>
      <c r="X628" s="721"/>
      <c r="Y628" s="721"/>
      <c r="Z628" s="722"/>
      <c r="AA628" s="40">
        <f>SUM(AA627)</f>
        <v>8.7040335449999979</v>
      </c>
    </row>
    <row r="629" spans="1:27" ht="15" customHeight="1" thickBot="1">
      <c r="A629" s="723" t="s">
        <v>27</v>
      </c>
      <c r="B629" s="724"/>
      <c r="C629" s="724"/>
      <c r="D629" s="724"/>
      <c r="E629" s="724"/>
      <c r="F629" s="725"/>
      <c r="H629" s="723" t="s">
        <v>27</v>
      </c>
      <c r="I629" s="724"/>
      <c r="J629" s="724"/>
      <c r="K629" s="724"/>
      <c r="L629" s="724"/>
      <c r="M629" s="725"/>
      <c r="O629" s="723" t="s">
        <v>27</v>
      </c>
      <c r="P629" s="724"/>
      <c r="Q629" s="724"/>
      <c r="R629" s="724"/>
      <c r="S629" s="724"/>
      <c r="T629" s="725"/>
      <c r="V629" s="723" t="s">
        <v>27</v>
      </c>
      <c r="W629" s="724"/>
      <c r="X629" s="724"/>
      <c r="Y629" s="724"/>
      <c r="Z629" s="724"/>
      <c r="AA629" s="725"/>
    </row>
    <row r="630" spans="1:27" ht="15" customHeight="1" thickBot="1">
      <c r="A630" s="8" t="s">
        <v>1</v>
      </c>
      <c r="B630" s="5" t="s">
        <v>2</v>
      </c>
      <c r="C630" s="8" t="s">
        <v>3</v>
      </c>
      <c r="D630" s="8" t="s">
        <v>9</v>
      </c>
      <c r="E630" s="8" t="s">
        <v>10</v>
      </c>
      <c r="F630" s="8" t="s">
        <v>11</v>
      </c>
      <c r="H630" s="8" t="s">
        <v>1</v>
      </c>
      <c r="I630" s="5" t="s">
        <v>2</v>
      </c>
      <c r="J630" s="8" t="s">
        <v>3</v>
      </c>
      <c r="K630" s="8" t="s">
        <v>9</v>
      </c>
      <c r="L630" s="8" t="s">
        <v>10</v>
      </c>
      <c r="M630" s="8" t="s">
        <v>11</v>
      </c>
      <c r="O630" s="8" t="s">
        <v>1</v>
      </c>
      <c r="P630" s="5" t="s">
        <v>2</v>
      </c>
      <c r="Q630" s="8" t="s">
        <v>3</v>
      </c>
      <c r="R630" s="8" t="s">
        <v>9</v>
      </c>
      <c r="S630" s="8" t="s">
        <v>10</v>
      </c>
      <c r="T630" s="8" t="s">
        <v>11</v>
      </c>
      <c r="V630" s="8" t="s">
        <v>1</v>
      </c>
      <c r="W630" s="5" t="s">
        <v>2</v>
      </c>
      <c r="X630" s="8" t="s">
        <v>3</v>
      </c>
      <c r="Y630" s="8" t="s">
        <v>9</v>
      </c>
      <c r="Z630" s="8" t="s">
        <v>10</v>
      </c>
      <c r="AA630" s="8" t="s">
        <v>11</v>
      </c>
    </row>
    <row r="631" spans="1:27" ht="15" customHeight="1">
      <c r="A631" s="9" t="s">
        <v>28</v>
      </c>
      <c r="B631" s="10" t="s">
        <v>29</v>
      </c>
      <c r="C631" s="9" t="s">
        <v>25</v>
      </c>
      <c r="D631" s="11">
        <v>0.02</v>
      </c>
      <c r="E631" s="13">
        <f>F622</f>
        <v>290.13445149999995</v>
      </c>
      <c r="F631" s="13">
        <f>(D631*E631)</f>
        <v>5.8026890299999989</v>
      </c>
      <c r="H631" s="9" t="s">
        <v>28</v>
      </c>
      <c r="I631" s="10" t="s">
        <v>29</v>
      </c>
      <c r="J631" s="9" t="s">
        <v>25</v>
      </c>
      <c r="K631" s="11">
        <v>0.02</v>
      </c>
      <c r="L631" s="13">
        <f>M622</f>
        <v>290.13445149999995</v>
      </c>
      <c r="M631" s="13">
        <f>(K631*L631)</f>
        <v>5.8026890299999989</v>
      </c>
      <c r="O631" s="9" t="s">
        <v>28</v>
      </c>
      <c r="P631" s="10" t="s">
        <v>29</v>
      </c>
      <c r="Q631" s="9" t="s">
        <v>25</v>
      </c>
      <c r="R631" s="11">
        <v>0.02</v>
      </c>
      <c r="S631" s="13">
        <f>T622</f>
        <v>290.13445149999995</v>
      </c>
      <c r="T631" s="13">
        <f>(R631*S631)</f>
        <v>5.8026890299999989</v>
      </c>
      <c r="V631" s="9" t="s">
        <v>28</v>
      </c>
      <c r="W631" s="10" t="s">
        <v>29</v>
      </c>
      <c r="X631" s="9" t="s">
        <v>25</v>
      </c>
      <c r="Y631" s="11">
        <v>0.02</v>
      </c>
      <c r="Z631" s="13">
        <f>AA622</f>
        <v>290.13445149999995</v>
      </c>
      <c r="AA631" s="13">
        <f>(Y631*Z631)</f>
        <v>5.8026890299999989</v>
      </c>
    </row>
    <row r="632" spans="1:27" ht="15" customHeight="1" thickBot="1">
      <c r="A632" s="23"/>
      <c r="B632" s="24"/>
      <c r="C632" s="23"/>
      <c r="D632" s="23"/>
      <c r="E632" s="25"/>
      <c r="F632" s="25"/>
      <c r="H632" s="23"/>
      <c r="I632" s="24"/>
      <c r="J632" s="23"/>
      <c r="K632" s="23"/>
      <c r="L632" s="25"/>
      <c r="M632" s="25"/>
      <c r="O632" s="23"/>
      <c r="P632" s="24"/>
      <c r="Q632" s="23"/>
      <c r="R632" s="23"/>
      <c r="S632" s="25"/>
      <c r="T632" s="25"/>
      <c r="V632" s="23"/>
      <c r="W632" s="24"/>
      <c r="X632" s="23"/>
      <c r="Y632" s="23"/>
      <c r="Z632" s="25"/>
      <c r="AA632" s="25"/>
    </row>
    <row r="633" spans="1:27" ht="15" customHeight="1" thickBot="1">
      <c r="A633" s="726" t="s">
        <v>34</v>
      </c>
      <c r="B633" s="727"/>
      <c r="C633" s="727"/>
      <c r="D633" s="727"/>
      <c r="E633" s="728"/>
      <c r="F633" s="41">
        <f>SUM(F631:F632)</f>
        <v>5.8026890299999989</v>
      </c>
      <c r="H633" s="726" t="s">
        <v>34</v>
      </c>
      <c r="I633" s="727"/>
      <c r="J633" s="727"/>
      <c r="K633" s="727"/>
      <c r="L633" s="728"/>
      <c r="M633" s="41">
        <f>SUM(M631:M632)</f>
        <v>5.8026890299999989</v>
      </c>
      <c r="O633" s="726" t="s">
        <v>34</v>
      </c>
      <c r="P633" s="727"/>
      <c r="Q633" s="727"/>
      <c r="R633" s="727"/>
      <c r="S633" s="728"/>
      <c r="T633" s="41">
        <f>SUM(T631:T632)</f>
        <v>5.8026890299999989</v>
      </c>
      <c r="V633" s="726" t="s">
        <v>34</v>
      </c>
      <c r="W633" s="727"/>
      <c r="X633" s="727"/>
      <c r="Y633" s="727"/>
      <c r="Z633" s="728"/>
      <c r="AA633" s="41">
        <f>SUM(AA631:AA632)</f>
        <v>5.8026890299999989</v>
      </c>
    </row>
    <row r="634" spans="1:27" ht="15" customHeight="1" thickBot="1">
      <c r="A634" s="729" t="s">
        <v>35</v>
      </c>
      <c r="B634" s="730"/>
      <c r="C634" s="730"/>
      <c r="D634" s="730"/>
      <c r="E634" s="730"/>
      <c r="F634" s="731"/>
      <c r="H634" s="729" t="s">
        <v>35</v>
      </c>
      <c r="I634" s="730"/>
      <c r="J634" s="730"/>
      <c r="K634" s="730"/>
      <c r="L634" s="730"/>
      <c r="M634" s="731"/>
      <c r="O634" s="729" t="s">
        <v>35</v>
      </c>
      <c r="P634" s="730"/>
      <c r="Q634" s="730"/>
      <c r="R634" s="730"/>
      <c r="S634" s="730"/>
      <c r="T634" s="731"/>
      <c r="V634" s="729" t="s">
        <v>35</v>
      </c>
      <c r="W634" s="730"/>
      <c r="X634" s="730"/>
      <c r="Y634" s="730"/>
      <c r="Z634" s="730"/>
      <c r="AA634" s="731"/>
    </row>
    <row r="635" spans="1:27" ht="15" customHeight="1" thickBot="1">
      <c r="A635" s="8" t="s">
        <v>1</v>
      </c>
      <c r="B635" s="5" t="s">
        <v>2</v>
      </c>
      <c r="C635" s="8" t="s">
        <v>3</v>
      </c>
      <c r="D635" s="8" t="s">
        <v>9</v>
      </c>
      <c r="E635" s="8" t="s">
        <v>10</v>
      </c>
      <c r="F635" s="8" t="s">
        <v>11</v>
      </c>
      <c r="H635" s="8" t="s">
        <v>1</v>
      </c>
      <c r="I635" s="5" t="s">
        <v>2</v>
      </c>
      <c r="J635" s="8" t="s">
        <v>3</v>
      </c>
      <c r="K635" s="8" t="s">
        <v>9</v>
      </c>
      <c r="L635" s="8" t="s">
        <v>10</v>
      </c>
      <c r="M635" s="8" t="s">
        <v>11</v>
      </c>
      <c r="O635" s="8" t="s">
        <v>1</v>
      </c>
      <c r="P635" s="5" t="s">
        <v>2</v>
      </c>
      <c r="Q635" s="8" t="s">
        <v>3</v>
      </c>
      <c r="R635" s="8" t="s">
        <v>9</v>
      </c>
      <c r="S635" s="8" t="s">
        <v>10</v>
      </c>
      <c r="T635" s="8" t="s">
        <v>11</v>
      </c>
      <c r="V635" s="8" t="s">
        <v>1</v>
      </c>
      <c r="W635" s="5" t="s">
        <v>2</v>
      </c>
      <c r="X635" s="8" t="s">
        <v>3</v>
      </c>
      <c r="Y635" s="8" t="s">
        <v>9</v>
      </c>
      <c r="Z635" s="8" t="s">
        <v>10</v>
      </c>
      <c r="AA635" s="8" t="s">
        <v>11</v>
      </c>
    </row>
    <row r="636" spans="1:27" ht="15" customHeight="1">
      <c r="A636" s="14"/>
      <c r="B636" s="15"/>
      <c r="C636" s="14"/>
      <c r="D636" s="14"/>
      <c r="E636" s="12"/>
      <c r="F636" s="13"/>
      <c r="H636" s="14"/>
      <c r="I636" s="15"/>
      <c r="J636" s="14"/>
      <c r="K636" s="14"/>
      <c r="L636" s="12"/>
      <c r="M636" s="13"/>
      <c r="O636" s="14"/>
      <c r="P636" s="15"/>
      <c r="Q636" s="14"/>
      <c r="R636" s="14"/>
      <c r="S636" s="12"/>
      <c r="T636" s="13"/>
      <c r="V636" s="14"/>
      <c r="W636" s="15"/>
      <c r="X636" s="14"/>
      <c r="Y636" s="14"/>
      <c r="Z636" s="12"/>
      <c r="AA636" s="13"/>
    </row>
    <row r="637" spans="1:27" ht="15" customHeight="1">
      <c r="A637" s="42"/>
      <c r="B637" s="43"/>
      <c r="C637" s="42"/>
      <c r="D637" s="42"/>
      <c r="E637" s="44"/>
      <c r="F637" s="20"/>
      <c r="H637" s="42"/>
      <c r="I637" s="43"/>
      <c r="J637" s="42"/>
      <c r="K637" s="42"/>
      <c r="L637" s="44"/>
      <c r="M637" s="20"/>
      <c r="O637" s="42"/>
      <c r="P637" s="43"/>
      <c r="Q637" s="42"/>
      <c r="R637" s="42"/>
      <c r="S637" s="44"/>
      <c r="T637" s="20"/>
      <c r="V637" s="42"/>
      <c r="W637" s="43"/>
      <c r="X637" s="42"/>
      <c r="Y637" s="42"/>
      <c r="Z637" s="44"/>
      <c r="AA637" s="20"/>
    </row>
    <row r="638" spans="1:27" ht="15" customHeight="1" thickBot="1">
      <c r="A638" s="23"/>
      <c r="B638" s="24"/>
      <c r="C638" s="23"/>
      <c r="D638" s="23"/>
      <c r="E638" s="34"/>
      <c r="F638" s="25"/>
      <c r="H638" s="23"/>
      <c r="I638" s="24"/>
      <c r="J638" s="23"/>
      <c r="K638" s="23"/>
      <c r="L638" s="34"/>
      <c r="M638" s="25"/>
      <c r="O638" s="23"/>
      <c r="P638" s="24"/>
      <c r="Q638" s="23"/>
      <c r="R638" s="23"/>
      <c r="S638" s="34"/>
      <c r="T638" s="25"/>
      <c r="V638" s="23"/>
      <c r="W638" s="24"/>
      <c r="X638" s="23"/>
      <c r="Y638" s="23"/>
      <c r="Z638" s="34"/>
      <c r="AA638" s="25"/>
    </row>
    <row r="639" spans="1:27" ht="15" customHeight="1" thickBot="1">
      <c r="A639" s="732" t="s">
        <v>43</v>
      </c>
      <c r="B639" s="746"/>
      <c r="C639" s="746"/>
      <c r="D639" s="746"/>
      <c r="E639" s="747"/>
      <c r="F639" s="49">
        <f>SUM(F636:F638)</f>
        <v>0</v>
      </c>
      <c r="H639" s="732" t="s">
        <v>43</v>
      </c>
      <c r="I639" s="746"/>
      <c r="J639" s="746"/>
      <c r="K639" s="746"/>
      <c r="L639" s="747"/>
      <c r="M639" s="49">
        <f>SUM(M636:M638)</f>
        <v>0</v>
      </c>
      <c r="O639" s="732" t="s">
        <v>43</v>
      </c>
      <c r="P639" s="746"/>
      <c r="Q639" s="746"/>
      <c r="R639" s="746"/>
      <c r="S639" s="747"/>
      <c r="T639" s="49">
        <f>SUM(T636:T638)</f>
        <v>0</v>
      </c>
      <c r="V639" s="732" t="s">
        <v>43</v>
      </c>
      <c r="W639" s="746"/>
      <c r="X639" s="746"/>
      <c r="Y639" s="746"/>
      <c r="Z639" s="747"/>
      <c r="AA639" s="49">
        <f>SUM(AA636:AA638)</f>
        <v>0</v>
      </c>
    </row>
    <row r="640" spans="1:27" ht="15" customHeight="1" thickBot="1">
      <c r="A640" s="50"/>
      <c r="B640" s="51"/>
      <c r="C640" s="52"/>
      <c r="D640" s="52"/>
      <c r="E640" s="52"/>
      <c r="F640" s="52"/>
      <c r="H640" s="50"/>
      <c r="I640" s="51"/>
      <c r="J640" s="52"/>
      <c r="K640" s="52"/>
      <c r="L640" s="52"/>
      <c r="M640" s="52"/>
      <c r="O640" s="50"/>
      <c r="P640" s="51"/>
      <c r="Q640" s="52"/>
      <c r="R640" s="52"/>
      <c r="S640" s="52"/>
      <c r="T640" s="52"/>
      <c r="V640" s="50"/>
      <c r="W640" s="51"/>
      <c r="X640" s="52"/>
      <c r="Y640" s="52"/>
      <c r="Z640" s="52"/>
      <c r="AA640" s="52"/>
    </row>
    <row r="641" spans="1:27" ht="15" customHeight="1" thickBot="1">
      <c r="A641" s="687" t="s">
        <v>44</v>
      </c>
      <c r="B641" s="748"/>
      <c r="C641" s="748"/>
      <c r="D641" s="748"/>
      <c r="E641" s="749"/>
      <c r="F641" s="54">
        <f>SUM(F639,F619,F624,F628,F633)</f>
        <v>862.7311740749999</v>
      </c>
      <c r="H641" s="687" t="s">
        <v>44</v>
      </c>
      <c r="I641" s="748"/>
      <c r="J641" s="748"/>
      <c r="K641" s="748"/>
      <c r="L641" s="749"/>
      <c r="M641" s="54">
        <f>SUM(M639,M619,M624,M628,M633)</f>
        <v>3254.0511740749998</v>
      </c>
      <c r="O641" s="687" t="s">
        <v>44</v>
      </c>
      <c r="P641" s="748"/>
      <c r="Q641" s="748"/>
      <c r="R641" s="748"/>
      <c r="S641" s="749"/>
      <c r="T641" s="54">
        <f>SUM(T639,T619,T624,T628,T633)</f>
        <v>3835.9411740749997</v>
      </c>
      <c r="V641" s="687" t="s">
        <v>44</v>
      </c>
      <c r="W641" s="748"/>
      <c r="X641" s="748"/>
      <c r="Y641" s="748"/>
      <c r="Z641" s="749"/>
      <c r="AA641" s="54">
        <f>SUM(AA639,AA619,AA624,AA628,AA633)</f>
        <v>3577.2611740749999</v>
      </c>
    </row>
    <row r="642" spans="1:27" ht="15" customHeight="1" thickBot="1">
      <c r="A642" s="687" t="s">
        <v>45</v>
      </c>
      <c r="B642" s="688"/>
      <c r="C642" s="688"/>
      <c r="D642" s="688"/>
      <c r="E642" s="55"/>
      <c r="F642" s="54"/>
      <c r="H642" s="687" t="s">
        <v>45</v>
      </c>
      <c r="I642" s="688"/>
      <c r="J642" s="688"/>
      <c r="K642" s="688"/>
      <c r="L642" s="55"/>
      <c r="M642" s="54"/>
      <c r="O642" s="687" t="s">
        <v>45</v>
      </c>
      <c r="P642" s="688"/>
      <c r="Q642" s="688"/>
      <c r="R642" s="688"/>
      <c r="S642" s="55"/>
      <c r="T642" s="54"/>
      <c r="V642" s="687" t="s">
        <v>45</v>
      </c>
      <c r="W642" s="688"/>
      <c r="X642" s="688"/>
      <c r="Y642" s="688"/>
      <c r="Z642" s="55"/>
      <c r="AA642" s="54"/>
    </row>
    <row r="643" spans="1:27" ht="15" customHeight="1" thickBot="1">
      <c r="A643" s="687" t="s">
        <v>46</v>
      </c>
      <c r="B643" s="688"/>
      <c r="C643" s="688"/>
      <c r="D643" s="688"/>
      <c r="E643" s="689"/>
      <c r="F643" s="54"/>
      <c r="H643" s="687" t="s">
        <v>46</v>
      </c>
      <c r="I643" s="688"/>
      <c r="J643" s="688"/>
      <c r="K643" s="688"/>
      <c r="L643" s="689"/>
      <c r="M643" s="54"/>
      <c r="O643" s="687" t="s">
        <v>46</v>
      </c>
      <c r="P643" s="688"/>
      <c r="Q643" s="688"/>
      <c r="R643" s="688"/>
      <c r="S643" s="689"/>
      <c r="T643" s="54"/>
      <c r="V643" s="687" t="s">
        <v>46</v>
      </c>
      <c r="W643" s="688"/>
      <c r="X643" s="688"/>
      <c r="Y643" s="688"/>
      <c r="Z643" s="689"/>
      <c r="AA643" s="54"/>
    </row>
    <row r="644" spans="1:27" ht="15" customHeight="1" thickBot="1">
      <c r="A644" s="687" t="s">
        <v>47</v>
      </c>
      <c r="B644" s="688"/>
      <c r="C644" s="688"/>
      <c r="D644" s="688"/>
      <c r="E644" s="56"/>
      <c r="F644" s="54"/>
      <c r="H644" s="687" t="s">
        <v>47</v>
      </c>
      <c r="I644" s="688"/>
      <c r="J644" s="688"/>
      <c r="K644" s="688"/>
      <c r="L644" s="56"/>
      <c r="M644" s="54"/>
      <c r="O644" s="687" t="s">
        <v>47</v>
      </c>
      <c r="P644" s="688"/>
      <c r="Q644" s="688"/>
      <c r="R644" s="688"/>
      <c r="S644" s="56"/>
      <c r="T644" s="54"/>
      <c r="V644" s="687" t="s">
        <v>47</v>
      </c>
      <c r="W644" s="688"/>
      <c r="X644" s="688"/>
      <c r="Y644" s="688"/>
      <c r="Z644" s="56"/>
      <c r="AA644" s="54"/>
    </row>
    <row r="645" spans="1:27" ht="15" customHeight="1" thickBot="1">
      <c r="A645" s="687" t="s">
        <v>46</v>
      </c>
      <c r="B645" s="688"/>
      <c r="C645" s="688"/>
      <c r="D645" s="688"/>
      <c r="E645" s="689"/>
      <c r="F645" s="54"/>
      <c r="H645" s="687" t="s">
        <v>46</v>
      </c>
      <c r="I645" s="688"/>
      <c r="J645" s="688"/>
      <c r="K645" s="688"/>
      <c r="L645" s="689"/>
      <c r="M645" s="54"/>
      <c r="O645" s="687" t="s">
        <v>46</v>
      </c>
      <c r="P645" s="688"/>
      <c r="Q645" s="688"/>
      <c r="R645" s="688"/>
      <c r="S645" s="689"/>
      <c r="T645" s="54"/>
      <c r="V645" s="687" t="s">
        <v>46</v>
      </c>
      <c r="W645" s="688"/>
      <c r="X645" s="688"/>
      <c r="Y645" s="688"/>
      <c r="Z645" s="689"/>
      <c r="AA645" s="54"/>
    </row>
    <row r="646" spans="1:27" ht="15" customHeight="1" thickBot="1">
      <c r="A646" s="687" t="s">
        <v>48</v>
      </c>
      <c r="B646" s="688"/>
      <c r="C646" s="688"/>
      <c r="D646" s="688"/>
      <c r="E646" s="55"/>
      <c r="F646" s="54"/>
      <c r="H646" s="687" t="s">
        <v>48</v>
      </c>
      <c r="I646" s="688"/>
      <c r="J646" s="688"/>
      <c r="K646" s="688"/>
      <c r="L646" s="55"/>
      <c r="M646" s="54"/>
      <c r="O646" s="687" t="s">
        <v>48</v>
      </c>
      <c r="P646" s="688"/>
      <c r="Q646" s="688"/>
      <c r="R646" s="688"/>
      <c r="S646" s="55"/>
      <c r="T646" s="54"/>
      <c r="V646" s="687" t="s">
        <v>48</v>
      </c>
      <c r="W646" s="688"/>
      <c r="X646" s="688"/>
      <c r="Y646" s="688"/>
      <c r="Z646" s="55"/>
      <c r="AA646" s="54"/>
    </row>
    <row r="647" spans="1:27" ht="15" customHeight="1" thickBot="1">
      <c r="A647" s="687" t="s">
        <v>46</v>
      </c>
      <c r="B647" s="688"/>
      <c r="C647" s="688"/>
      <c r="D647" s="688"/>
      <c r="E647" s="689"/>
      <c r="F647" s="54"/>
      <c r="H647" s="687" t="s">
        <v>46</v>
      </c>
      <c r="I647" s="688"/>
      <c r="J647" s="688"/>
      <c r="K647" s="688"/>
      <c r="L647" s="689"/>
      <c r="M647" s="54"/>
      <c r="O647" s="687" t="s">
        <v>46</v>
      </c>
      <c r="P647" s="688"/>
      <c r="Q647" s="688"/>
      <c r="R647" s="688"/>
      <c r="S647" s="689"/>
      <c r="T647" s="54"/>
      <c r="V647" s="687" t="s">
        <v>46</v>
      </c>
      <c r="W647" s="688"/>
      <c r="X647" s="688"/>
      <c r="Y647" s="688"/>
      <c r="Z647" s="689"/>
      <c r="AA647" s="54"/>
    </row>
    <row r="648" spans="1:27" ht="15" customHeight="1" thickBot="1">
      <c r="A648" s="687" t="s">
        <v>49</v>
      </c>
      <c r="B648" s="688"/>
      <c r="C648" s="688"/>
      <c r="D648" s="688"/>
      <c r="E648" s="56"/>
      <c r="F648" s="54"/>
      <c r="H648" s="687" t="s">
        <v>49</v>
      </c>
      <c r="I648" s="688"/>
      <c r="J648" s="688"/>
      <c r="K648" s="688"/>
      <c r="L648" s="56"/>
      <c r="M648" s="54"/>
      <c r="O648" s="687" t="s">
        <v>49</v>
      </c>
      <c r="P648" s="688"/>
      <c r="Q648" s="688"/>
      <c r="R648" s="688"/>
      <c r="S648" s="56"/>
      <c r="T648" s="54"/>
      <c r="V648" s="687" t="s">
        <v>49</v>
      </c>
      <c r="W648" s="688"/>
      <c r="X648" s="688"/>
      <c r="Y648" s="688"/>
      <c r="Z648" s="56"/>
      <c r="AA648" s="54"/>
    </row>
    <row r="649" spans="1:27" ht="15" customHeight="1" thickBot="1">
      <c r="A649" s="690" t="s">
        <v>50</v>
      </c>
      <c r="B649" s="691"/>
      <c r="C649" s="691"/>
      <c r="D649" s="691"/>
      <c r="E649" s="692"/>
      <c r="F649" s="57"/>
      <c r="H649" s="690" t="s">
        <v>50</v>
      </c>
      <c r="I649" s="691"/>
      <c r="J649" s="691"/>
      <c r="K649" s="691"/>
      <c r="L649" s="692"/>
      <c r="M649" s="57"/>
      <c r="O649" s="690" t="s">
        <v>50</v>
      </c>
      <c r="P649" s="691"/>
      <c r="Q649" s="691"/>
      <c r="R649" s="691"/>
      <c r="S649" s="692"/>
      <c r="T649" s="57"/>
      <c r="V649" s="690" t="s">
        <v>50</v>
      </c>
      <c r="W649" s="691"/>
      <c r="X649" s="691"/>
      <c r="Y649" s="691"/>
      <c r="Z649" s="692"/>
      <c r="AA649" s="57"/>
    </row>
    <row r="650" spans="1:27" ht="15" customHeight="1" thickBot="1">
      <c r="A650" s="693" t="s">
        <v>1457</v>
      </c>
      <c r="B650" s="694"/>
      <c r="C650" s="694"/>
      <c r="D650" s="694"/>
      <c r="E650" s="694"/>
      <c r="F650" s="695"/>
      <c r="H650" s="693" t="s">
        <v>1458</v>
      </c>
      <c r="I650" s="694"/>
      <c r="J650" s="694"/>
      <c r="K650" s="694"/>
      <c r="L650" s="694"/>
      <c r="M650" s="695"/>
      <c r="O650" s="693" t="s">
        <v>1459</v>
      </c>
      <c r="P650" s="694"/>
      <c r="Q650" s="694"/>
      <c r="R650" s="694"/>
      <c r="S650" s="694"/>
      <c r="T650" s="695"/>
      <c r="V650" s="693" t="s">
        <v>1460</v>
      </c>
      <c r="W650" s="694"/>
      <c r="X650" s="694"/>
      <c r="Y650" s="694"/>
      <c r="Z650" s="694"/>
      <c r="AA650" s="695"/>
    </row>
    <row r="651" spans="1:27" ht="15" customHeight="1" thickBot="1"/>
    <row r="652" spans="1:27" ht="39" customHeight="1" thickBot="1">
      <c r="A652" s="696" t="s">
        <v>0</v>
      </c>
      <c r="B652" s="697"/>
      <c r="C652" s="697"/>
      <c r="D652" s="697"/>
      <c r="E652" s="697"/>
      <c r="F652" s="698"/>
      <c r="H652" s="696" t="s">
        <v>0</v>
      </c>
      <c r="I652" s="697"/>
      <c r="J652" s="697"/>
      <c r="K652" s="697"/>
      <c r="L652" s="697"/>
      <c r="M652" s="698"/>
    </row>
    <row r="653" spans="1:27" ht="15" customHeight="1" thickBot="1">
      <c r="A653" s="3" t="s">
        <v>1</v>
      </c>
      <c r="B653" s="693" t="s">
        <v>2</v>
      </c>
      <c r="C653" s="694"/>
      <c r="D653" s="694"/>
      <c r="E653" s="695"/>
      <c r="F653" s="3" t="s">
        <v>3</v>
      </c>
      <c r="H653" s="3" t="s">
        <v>1</v>
      </c>
      <c r="I653" s="693" t="s">
        <v>2</v>
      </c>
      <c r="J653" s="694"/>
      <c r="K653" s="694"/>
      <c r="L653" s="695"/>
      <c r="M653" s="3" t="s">
        <v>3</v>
      </c>
    </row>
    <row r="654" spans="1:27" ht="101.4" customHeight="1" thickBot="1">
      <c r="A654" s="5" t="s">
        <v>1210</v>
      </c>
      <c r="B654" s="743" t="s">
        <v>1211</v>
      </c>
      <c r="C654" s="744"/>
      <c r="D654" s="744"/>
      <c r="E654" s="745"/>
      <c r="F654" s="5" t="s">
        <v>64</v>
      </c>
      <c r="H654" s="5" t="s">
        <v>1212</v>
      </c>
      <c r="I654" s="743" t="s">
        <v>1213</v>
      </c>
      <c r="J654" s="744"/>
      <c r="K654" s="744"/>
      <c r="L654" s="745"/>
      <c r="M654" s="5" t="s">
        <v>6</v>
      </c>
    </row>
    <row r="655" spans="1:27" ht="15" customHeight="1" thickBot="1">
      <c r="A655" s="705" t="s">
        <v>8</v>
      </c>
      <c r="B655" s="706"/>
      <c r="C655" s="706"/>
      <c r="D655" s="706"/>
      <c r="E655" s="706"/>
      <c r="F655" s="707"/>
      <c r="H655" s="705" t="s">
        <v>8</v>
      </c>
      <c r="I655" s="706"/>
      <c r="J655" s="706"/>
      <c r="K655" s="706"/>
      <c r="L655" s="706"/>
      <c r="M655" s="707"/>
    </row>
    <row r="656" spans="1:27" ht="15" customHeight="1" thickBot="1">
      <c r="A656" s="8" t="s">
        <v>1</v>
      </c>
      <c r="B656" s="5" t="s">
        <v>2</v>
      </c>
      <c r="C656" s="8" t="s">
        <v>3</v>
      </c>
      <c r="D656" s="8" t="s">
        <v>9</v>
      </c>
      <c r="E656" s="8" t="s">
        <v>10</v>
      </c>
      <c r="F656" s="8" t="s">
        <v>11</v>
      </c>
      <c r="H656" s="8" t="s">
        <v>1</v>
      </c>
      <c r="I656" s="5" t="s">
        <v>2</v>
      </c>
      <c r="J656" s="8" t="s">
        <v>3</v>
      </c>
      <c r="K656" s="8" t="s">
        <v>9</v>
      </c>
      <c r="L656" s="8" t="s">
        <v>10</v>
      </c>
      <c r="M656" s="8" t="s">
        <v>11</v>
      </c>
    </row>
    <row r="657" spans="1:13" ht="15" customHeight="1">
      <c r="A657" s="463" t="s">
        <v>15</v>
      </c>
      <c r="B657" s="459" t="s">
        <v>67</v>
      </c>
      <c r="C657" s="463" t="s">
        <v>17</v>
      </c>
      <c r="D657" s="11">
        <f>(20*1.05)/1000</f>
        <v>2.1000000000000001E-2</v>
      </c>
      <c r="E657" s="12">
        <f>MATERIALES!E15</f>
        <v>10</v>
      </c>
      <c r="F657" s="13">
        <f>D657*E657</f>
        <v>0.21000000000000002</v>
      </c>
      <c r="H657" s="463" t="s">
        <v>15</v>
      </c>
      <c r="I657" s="459" t="s">
        <v>67</v>
      </c>
      <c r="J657" s="463" t="s">
        <v>17</v>
      </c>
      <c r="K657" s="11">
        <f>(20*30*1.05)/1000</f>
        <v>0.63</v>
      </c>
      <c r="L657" s="12">
        <f>MATERIALES!E15</f>
        <v>10</v>
      </c>
      <c r="M657" s="13">
        <f>K657*L657</f>
        <v>6.3</v>
      </c>
    </row>
    <row r="658" spans="1:13" ht="15" customHeight="1">
      <c r="A658" s="466" t="s">
        <v>1210</v>
      </c>
      <c r="B658" s="460" t="s">
        <v>1334</v>
      </c>
      <c r="C658" s="466" t="s">
        <v>64</v>
      </c>
      <c r="D658" s="18">
        <f>1*1.05</f>
        <v>1.05</v>
      </c>
      <c r="E658" s="20">
        <f>MATERIALES!E218</f>
        <v>1348</v>
      </c>
      <c r="F658" s="20">
        <f>D658*E658</f>
        <v>1415.4</v>
      </c>
      <c r="H658" s="466" t="s">
        <v>1212</v>
      </c>
      <c r="I658" s="460" t="s">
        <v>1335</v>
      </c>
      <c r="J658" s="466" t="s">
        <v>42</v>
      </c>
      <c r="K658" s="18">
        <f>1*1.05</f>
        <v>1.05</v>
      </c>
      <c r="L658" s="20">
        <f>MATERIALES!E219</f>
        <v>43</v>
      </c>
      <c r="M658" s="20">
        <f>K658*L658</f>
        <v>45.15</v>
      </c>
    </row>
    <row r="659" spans="1:13" ht="15" customHeight="1">
      <c r="A659" s="466"/>
      <c r="B659" s="460"/>
      <c r="C659" s="16"/>
      <c r="D659" s="18"/>
      <c r="E659" s="20"/>
      <c r="F659" s="20"/>
      <c r="H659" s="466"/>
      <c r="I659" s="460"/>
      <c r="J659" s="16"/>
      <c r="K659" s="18"/>
      <c r="L659" s="20"/>
      <c r="M659" s="20"/>
    </row>
    <row r="660" spans="1:13" ht="15" customHeight="1">
      <c r="A660" s="462"/>
      <c r="B660" s="461"/>
      <c r="C660" s="21"/>
      <c r="D660" s="21"/>
      <c r="E660" s="20"/>
      <c r="F660" s="20"/>
      <c r="H660" s="462"/>
      <c r="I660" s="461"/>
      <c r="J660" s="21"/>
      <c r="K660" s="21"/>
      <c r="L660" s="20"/>
      <c r="M660" s="20"/>
    </row>
    <row r="661" spans="1:13" ht="15" customHeight="1">
      <c r="A661" s="462"/>
      <c r="B661" s="461"/>
      <c r="C661" s="462"/>
      <c r="D661" s="21"/>
      <c r="E661" s="20"/>
      <c r="F661" s="20"/>
      <c r="H661" s="462"/>
      <c r="I661" s="461"/>
      <c r="J661" s="462"/>
      <c r="K661" s="21"/>
      <c r="L661" s="20"/>
      <c r="M661" s="20"/>
    </row>
    <row r="662" spans="1:13" ht="15" customHeight="1">
      <c r="A662" s="462"/>
      <c r="B662" s="461"/>
      <c r="C662" s="462"/>
      <c r="D662" s="21"/>
      <c r="E662" s="20"/>
      <c r="F662" s="20"/>
      <c r="H662" s="462"/>
      <c r="I662" s="461"/>
      <c r="J662" s="462"/>
      <c r="K662" s="21"/>
      <c r="L662" s="20"/>
      <c r="M662" s="20"/>
    </row>
    <row r="663" spans="1:13" ht="15" customHeight="1" thickBot="1">
      <c r="A663" s="23"/>
      <c r="B663" s="24"/>
      <c r="C663" s="23"/>
      <c r="D663" s="23"/>
      <c r="E663" s="25"/>
      <c r="F663" s="25"/>
      <c r="H663" s="23"/>
      <c r="I663" s="24"/>
      <c r="J663" s="23"/>
      <c r="K663" s="23"/>
      <c r="L663" s="25"/>
      <c r="M663" s="25"/>
    </row>
    <row r="664" spans="1:13" ht="15" customHeight="1" thickBot="1">
      <c r="A664" s="708" t="s">
        <v>18</v>
      </c>
      <c r="B664" s="709"/>
      <c r="C664" s="709"/>
      <c r="D664" s="709"/>
      <c r="E664" s="710"/>
      <c r="F664" s="26">
        <f>SUM(F657:F663)</f>
        <v>1415.6100000000001</v>
      </c>
      <c r="H664" s="708" t="s">
        <v>18</v>
      </c>
      <c r="I664" s="709"/>
      <c r="J664" s="709"/>
      <c r="K664" s="709"/>
      <c r="L664" s="710"/>
      <c r="M664" s="26">
        <f>SUM(M657:M663)</f>
        <v>51.449999999999996</v>
      </c>
    </row>
    <row r="665" spans="1:13" ht="15" customHeight="1" thickBot="1">
      <c r="A665" s="711" t="s">
        <v>19</v>
      </c>
      <c r="B665" s="712"/>
      <c r="C665" s="712"/>
      <c r="D665" s="712"/>
      <c r="E665" s="712"/>
      <c r="F665" s="713"/>
      <c r="H665" s="711" t="s">
        <v>19</v>
      </c>
      <c r="I665" s="712"/>
      <c r="J665" s="712"/>
      <c r="K665" s="712"/>
      <c r="L665" s="712"/>
      <c r="M665" s="713"/>
    </row>
    <row r="666" spans="1:13" ht="15" customHeight="1" thickBot="1">
      <c r="A666" s="8" t="s">
        <v>1</v>
      </c>
      <c r="B666" s="5" t="s">
        <v>2</v>
      </c>
      <c r="C666" s="8" t="s">
        <v>3</v>
      </c>
      <c r="D666" s="8" t="s">
        <v>9</v>
      </c>
      <c r="E666" s="8" t="s">
        <v>10</v>
      </c>
      <c r="F666" s="8" t="s">
        <v>11</v>
      </c>
      <c r="H666" s="8" t="s">
        <v>1</v>
      </c>
      <c r="I666" s="5" t="s">
        <v>2</v>
      </c>
      <c r="J666" s="8" t="s">
        <v>3</v>
      </c>
      <c r="K666" s="8" t="s">
        <v>9</v>
      </c>
      <c r="L666" s="8" t="s">
        <v>10</v>
      </c>
      <c r="M666" s="8" t="s">
        <v>11</v>
      </c>
    </row>
    <row r="667" spans="1:13" ht="15" customHeight="1">
      <c r="A667" s="463" t="s">
        <v>1338</v>
      </c>
      <c r="B667" s="459" t="s">
        <v>1330</v>
      </c>
      <c r="C667" s="9" t="s">
        <v>21</v>
      </c>
      <c r="D667" s="471">
        <f>1*1.15</f>
        <v>1.1499999999999999</v>
      </c>
      <c r="E667" s="12">
        <f>'ANÁLISIS CUADRILLAS'!F77</f>
        <v>1160.5378059999998</v>
      </c>
      <c r="F667" s="13">
        <f>D667*E667</f>
        <v>1334.6184768999997</v>
      </c>
      <c r="H667" s="463" t="s">
        <v>1338</v>
      </c>
      <c r="I667" s="459" t="s">
        <v>1331</v>
      </c>
      <c r="J667" s="9" t="s">
        <v>21</v>
      </c>
      <c r="K667" s="27">
        <f>1/25</f>
        <v>0.04</v>
      </c>
      <c r="L667" s="12">
        <f>'ANÁLISIS CUADRILLAS'!F77</f>
        <v>1160.5378059999998</v>
      </c>
      <c r="M667" s="13">
        <f>K667*L667</f>
        <v>46.421512239999991</v>
      </c>
    </row>
    <row r="668" spans="1:13" ht="15" customHeight="1" thickBot="1">
      <c r="A668" s="23"/>
      <c r="B668" s="24"/>
      <c r="C668" s="23"/>
      <c r="D668" s="23"/>
      <c r="E668" s="25"/>
      <c r="F668" s="25"/>
      <c r="H668" s="23"/>
      <c r="I668" s="24"/>
      <c r="J668" s="23"/>
      <c r="K668" s="23"/>
      <c r="L668" s="25"/>
      <c r="M668" s="25"/>
    </row>
    <row r="669" spans="1:13" ht="15" customHeight="1" thickBot="1">
      <c r="A669" s="714" t="s">
        <v>18</v>
      </c>
      <c r="B669" s="715"/>
      <c r="C669" s="715"/>
      <c r="D669" s="715"/>
      <c r="E669" s="716"/>
      <c r="F669" s="35">
        <f>SUM(F667:F668)</f>
        <v>1334.6184768999997</v>
      </c>
      <c r="H669" s="714" t="s">
        <v>18</v>
      </c>
      <c r="I669" s="715"/>
      <c r="J669" s="715"/>
      <c r="K669" s="715"/>
      <c r="L669" s="716"/>
      <c r="M669" s="35">
        <f>SUM(M667:M668)</f>
        <v>46.421512239999991</v>
      </c>
    </row>
    <row r="670" spans="1:13" ht="15" customHeight="1" thickBot="1">
      <c r="A670" s="717" t="s">
        <v>23</v>
      </c>
      <c r="B670" s="718"/>
      <c r="C670" s="718"/>
      <c r="D670" s="718"/>
      <c r="E670" s="718"/>
      <c r="F670" s="719"/>
      <c r="H670" s="717" t="s">
        <v>23</v>
      </c>
      <c r="I670" s="718"/>
      <c r="J670" s="718"/>
      <c r="K670" s="718"/>
      <c r="L670" s="718"/>
      <c r="M670" s="719"/>
    </row>
    <row r="671" spans="1:13" ht="15" customHeight="1" thickBot="1">
      <c r="A671" s="8" t="s">
        <v>1</v>
      </c>
      <c r="B671" s="5" t="s">
        <v>2</v>
      </c>
      <c r="C671" s="8" t="s">
        <v>3</v>
      </c>
      <c r="D671" s="8" t="s">
        <v>9</v>
      </c>
      <c r="E671" s="8" t="s">
        <v>10</v>
      </c>
      <c r="F671" s="8" t="s">
        <v>11</v>
      </c>
      <c r="H671" s="8" t="s">
        <v>1</v>
      </c>
      <c r="I671" s="5" t="s">
        <v>2</v>
      </c>
      <c r="J671" s="8" t="s">
        <v>3</v>
      </c>
      <c r="K671" s="8" t="s">
        <v>9</v>
      </c>
      <c r="L671" s="8" t="s">
        <v>10</v>
      </c>
      <c r="M671" s="8" t="s">
        <v>11</v>
      </c>
    </row>
    <row r="672" spans="1:13" ht="15" customHeight="1" thickBot="1">
      <c r="A672" s="36" t="s">
        <v>24</v>
      </c>
      <c r="B672" s="37" t="s">
        <v>23</v>
      </c>
      <c r="C672" s="36" t="s">
        <v>25</v>
      </c>
      <c r="D672" s="38">
        <v>0.03</v>
      </c>
      <c r="E672" s="39">
        <f>F667</f>
        <v>1334.6184768999997</v>
      </c>
      <c r="F672" s="39">
        <f>(D672*E672)</f>
        <v>40.038554306999991</v>
      </c>
      <c r="H672" s="36" t="s">
        <v>24</v>
      </c>
      <c r="I672" s="37" t="s">
        <v>23</v>
      </c>
      <c r="J672" s="36" t="s">
        <v>25</v>
      </c>
      <c r="K672" s="38">
        <v>0.03</v>
      </c>
      <c r="L672" s="39">
        <f>M667</f>
        <v>46.421512239999991</v>
      </c>
      <c r="M672" s="39">
        <f>(K672*L672)</f>
        <v>1.3926453671999997</v>
      </c>
    </row>
    <row r="673" spans="1:13" ht="15" customHeight="1" thickBot="1">
      <c r="A673" s="720" t="s">
        <v>26</v>
      </c>
      <c r="B673" s="721"/>
      <c r="C673" s="721"/>
      <c r="D673" s="721"/>
      <c r="E673" s="722"/>
      <c r="F673" s="40">
        <f>SUM(F672)</f>
        <v>40.038554306999991</v>
      </c>
      <c r="H673" s="720" t="s">
        <v>26</v>
      </c>
      <c r="I673" s="721"/>
      <c r="J673" s="721"/>
      <c r="K673" s="721"/>
      <c r="L673" s="722"/>
      <c r="M673" s="40">
        <f>SUM(M672)</f>
        <v>1.3926453671999997</v>
      </c>
    </row>
    <row r="674" spans="1:13" ht="15" customHeight="1" thickBot="1">
      <c r="A674" s="723" t="s">
        <v>27</v>
      </c>
      <c r="B674" s="724"/>
      <c r="C674" s="724"/>
      <c r="D674" s="724"/>
      <c r="E674" s="724"/>
      <c r="F674" s="725"/>
      <c r="H674" s="723" t="s">
        <v>27</v>
      </c>
      <c r="I674" s="724"/>
      <c r="J674" s="724"/>
      <c r="K674" s="724"/>
      <c r="L674" s="724"/>
      <c r="M674" s="725"/>
    </row>
    <row r="675" spans="1:13" ht="15" customHeight="1" thickBot="1">
      <c r="A675" s="8" t="s">
        <v>1</v>
      </c>
      <c r="B675" s="5" t="s">
        <v>2</v>
      </c>
      <c r="C675" s="8" t="s">
        <v>3</v>
      </c>
      <c r="D675" s="8" t="s">
        <v>9</v>
      </c>
      <c r="E675" s="8" t="s">
        <v>10</v>
      </c>
      <c r="F675" s="8" t="s">
        <v>11</v>
      </c>
      <c r="H675" s="8" t="s">
        <v>1</v>
      </c>
      <c r="I675" s="5" t="s">
        <v>2</v>
      </c>
      <c r="J675" s="8" t="s">
        <v>3</v>
      </c>
      <c r="K675" s="8" t="s">
        <v>9</v>
      </c>
      <c r="L675" s="8" t="s">
        <v>10</v>
      </c>
      <c r="M675" s="8" t="s">
        <v>11</v>
      </c>
    </row>
    <row r="676" spans="1:13" ht="15" customHeight="1">
      <c r="A676" s="9" t="s">
        <v>28</v>
      </c>
      <c r="B676" s="10" t="s">
        <v>29</v>
      </c>
      <c r="C676" s="9" t="s">
        <v>25</v>
      </c>
      <c r="D676" s="11">
        <v>0.02</v>
      </c>
      <c r="E676" s="13">
        <f>F667</f>
        <v>1334.6184768999997</v>
      </c>
      <c r="F676" s="13">
        <f>(D676*E676)</f>
        <v>26.692369537999994</v>
      </c>
      <c r="H676" s="9" t="s">
        <v>28</v>
      </c>
      <c r="I676" s="10" t="s">
        <v>29</v>
      </c>
      <c r="J676" s="9" t="s">
        <v>25</v>
      </c>
      <c r="K676" s="11">
        <v>0.02</v>
      </c>
      <c r="L676" s="13">
        <f>M667</f>
        <v>46.421512239999991</v>
      </c>
      <c r="M676" s="13">
        <f>(K676*L676)</f>
        <v>0.9284302447999998</v>
      </c>
    </row>
    <row r="677" spans="1:13" ht="15" customHeight="1" thickBot="1">
      <c r="A677" s="23"/>
      <c r="B677" s="24"/>
      <c r="C677" s="23"/>
      <c r="D677" s="23"/>
      <c r="E677" s="25"/>
      <c r="F677" s="25"/>
      <c r="H677" s="23"/>
      <c r="I677" s="24"/>
      <c r="J677" s="23"/>
      <c r="K677" s="23"/>
      <c r="L677" s="25"/>
      <c r="M677" s="25"/>
    </row>
    <row r="678" spans="1:13" ht="15" customHeight="1" thickBot="1">
      <c r="A678" s="726" t="s">
        <v>34</v>
      </c>
      <c r="B678" s="727"/>
      <c r="C678" s="727"/>
      <c r="D678" s="727"/>
      <c r="E678" s="728"/>
      <c r="F678" s="41">
        <f>SUM(F676:F677)</f>
        <v>26.692369537999994</v>
      </c>
      <c r="H678" s="726" t="s">
        <v>34</v>
      </c>
      <c r="I678" s="727"/>
      <c r="J678" s="727"/>
      <c r="K678" s="727"/>
      <c r="L678" s="728"/>
      <c r="M678" s="41">
        <f>SUM(M676:M677)</f>
        <v>0.9284302447999998</v>
      </c>
    </row>
    <row r="679" spans="1:13" ht="15" customHeight="1" thickBot="1">
      <c r="A679" s="729" t="s">
        <v>35</v>
      </c>
      <c r="B679" s="730"/>
      <c r="C679" s="730"/>
      <c r="D679" s="730"/>
      <c r="E679" s="730"/>
      <c r="F679" s="731"/>
      <c r="H679" s="729" t="s">
        <v>35</v>
      </c>
      <c r="I679" s="730"/>
      <c r="J679" s="730"/>
      <c r="K679" s="730"/>
      <c r="L679" s="730"/>
      <c r="M679" s="731"/>
    </row>
    <row r="680" spans="1:13" ht="15" customHeight="1" thickBot="1">
      <c r="A680" s="8" t="s">
        <v>1</v>
      </c>
      <c r="B680" s="5" t="s">
        <v>2</v>
      </c>
      <c r="C680" s="8" t="s">
        <v>3</v>
      </c>
      <c r="D680" s="8" t="s">
        <v>9</v>
      </c>
      <c r="E680" s="8" t="s">
        <v>10</v>
      </c>
      <c r="F680" s="8" t="s">
        <v>11</v>
      </c>
      <c r="H680" s="8" t="s">
        <v>1</v>
      </c>
      <c r="I680" s="5" t="s">
        <v>2</v>
      </c>
      <c r="J680" s="8" t="s">
        <v>3</v>
      </c>
      <c r="K680" s="8" t="s">
        <v>9</v>
      </c>
      <c r="L680" s="8" t="s">
        <v>10</v>
      </c>
      <c r="M680" s="8" t="s">
        <v>11</v>
      </c>
    </row>
    <row r="681" spans="1:13" ht="15" customHeight="1">
      <c r="A681" s="14"/>
      <c r="B681" s="15"/>
      <c r="C681" s="14"/>
      <c r="D681" s="14"/>
      <c r="E681" s="12"/>
      <c r="F681" s="13"/>
      <c r="H681" s="14"/>
      <c r="I681" s="15"/>
      <c r="J681" s="14"/>
      <c r="K681" s="14"/>
      <c r="L681" s="12"/>
      <c r="M681" s="13"/>
    </row>
    <row r="682" spans="1:13" ht="15" customHeight="1">
      <c r="A682" s="42"/>
      <c r="B682" s="43"/>
      <c r="C682" s="42"/>
      <c r="D682" s="42"/>
      <c r="E682" s="44"/>
      <c r="F682" s="20"/>
      <c r="H682" s="42"/>
      <c r="I682" s="43"/>
      <c r="J682" s="42"/>
      <c r="K682" s="42"/>
      <c r="L682" s="44"/>
      <c r="M682" s="20"/>
    </row>
    <row r="683" spans="1:13" ht="15" customHeight="1" thickBot="1">
      <c r="A683" s="23"/>
      <c r="B683" s="24"/>
      <c r="C683" s="23"/>
      <c r="D683" s="23"/>
      <c r="E683" s="34"/>
      <c r="F683" s="25"/>
      <c r="H683" s="23"/>
      <c r="I683" s="24"/>
      <c r="J683" s="23"/>
      <c r="K683" s="23"/>
      <c r="L683" s="34"/>
      <c r="M683" s="25"/>
    </row>
    <row r="684" spans="1:13" ht="15" customHeight="1" thickBot="1">
      <c r="A684" s="732" t="s">
        <v>43</v>
      </c>
      <c r="B684" s="746"/>
      <c r="C684" s="746"/>
      <c r="D684" s="746"/>
      <c r="E684" s="747"/>
      <c r="F684" s="49">
        <f>SUM(F681:F683)</f>
        <v>0</v>
      </c>
      <c r="H684" s="732" t="s">
        <v>43</v>
      </c>
      <c r="I684" s="746"/>
      <c r="J684" s="746"/>
      <c r="K684" s="746"/>
      <c r="L684" s="747"/>
      <c r="M684" s="49">
        <f>SUM(M681:M683)</f>
        <v>0</v>
      </c>
    </row>
    <row r="685" spans="1:13" ht="15" customHeight="1" thickBot="1">
      <c r="A685" s="50"/>
      <c r="B685" s="51"/>
      <c r="C685" s="52"/>
      <c r="D685" s="52"/>
      <c r="E685" s="52"/>
      <c r="F685" s="52"/>
      <c r="H685" s="50"/>
      <c r="I685" s="51"/>
      <c r="J685" s="52"/>
      <c r="K685" s="52"/>
      <c r="L685" s="52"/>
      <c r="M685" s="52"/>
    </row>
    <row r="686" spans="1:13" ht="15" customHeight="1" thickBot="1">
      <c r="A686" s="687" t="s">
        <v>44</v>
      </c>
      <c r="B686" s="748"/>
      <c r="C686" s="748"/>
      <c r="D686" s="748"/>
      <c r="E686" s="749"/>
      <c r="F686" s="54">
        <f>SUM(F684,F664,F669,F673,F678)</f>
        <v>2816.959400745</v>
      </c>
      <c r="H686" s="687" t="s">
        <v>44</v>
      </c>
      <c r="I686" s="748"/>
      <c r="J686" s="748"/>
      <c r="K686" s="748"/>
      <c r="L686" s="749"/>
      <c r="M686" s="54">
        <f>SUM(M684,M664,M669,M673,M678)</f>
        <v>100.19258785199999</v>
      </c>
    </row>
    <row r="687" spans="1:13" ht="15" customHeight="1" thickBot="1">
      <c r="A687" s="687" t="s">
        <v>45</v>
      </c>
      <c r="B687" s="688"/>
      <c r="C687" s="688"/>
      <c r="D687" s="688"/>
      <c r="E687" s="55"/>
      <c r="F687" s="54"/>
      <c r="H687" s="687" t="s">
        <v>45</v>
      </c>
      <c r="I687" s="688"/>
      <c r="J687" s="688"/>
      <c r="K687" s="688"/>
      <c r="L687" s="55"/>
      <c r="M687" s="54"/>
    </row>
    <row r="688" spans="1:13" ht="15" customHeight="1" thickBot="1">
      <c r="A688" s="687" t="s">
        <v>46</v>
      </c>
      <c r="B688" s="688"/>
      <c r="C688" s="688"/>
      <c r="D688" s="688"/>
      <c r="E688" s="689"/>
      <c r="F688" s="54"/>
      <c r="H688" s="687" t="s">
        <v>46</v>
      </c>
      <c r="I688" s="688"/>
      <c r="J688" s="688"/>
      <c r="K688" s="688"/>
      <c r="L688" s="689"/>
      <c r="M688" s="54"/>
    </row>
    <row r="689" spans="1:13" ht="15" customHeight="1" thickBot="1">
      <c r="A689" s="687" t="s">
        <v>47</v>
      </c>
      <c r="B689" s="688"/>
      <c r="C689" s="688"/>
      <c r="D689" s="688"/>
      <c r="E689" s="56"/>
      <c r="F689" s="54"/>
      <c r="H689" s="687" t="s">
        <v>47</v>
      </c>
      <c r="I689" s="688"/>
      <c r="J689" s="688"/>
      <c r="K689" s="688"/>
      <c r="L689" s="56"/>
      <c r="M689" s="54"/>
    </row>
    <row r="690" spans="1:13" ht="15" customHeight="1" thickBot="1">
      <c r="A690" s="687" t="s">
        <v>46</v>
      </c>
      <c r="B690" s="688"/>
      <c r="C690" s="688"/>
      <c r="D690" s="688"/>
      <c r="E690" s="689"/>
      <c r="F690" s="54"/>
      <c r="H690" s="687" t="s">
        <v>46</v>
      </c>
      <c r="I690" s="688"/>
      <c r="J690" s="688"/>
      <c r="K690" s="688"/>
      <c r="L690" s="689"/>
      <c r="M690" s="54"/>
    </row>
    <row r="691" spans="1:13" ht="15" customHeight="1" thickBot="1">
      <c r="A691" s="687" t="s">
        <v>48</v>
      </c>
      <c r="B691" s="688"/>
      <c r="C691" s="688"/>
      <c r="D691" s="688"/>
      <c r="E691" s="55"/>
      <c r="F691" s="54"/>
      <c r="H691" s="687" t="s">
        <v>48</v>
      </c>
      <c r="I691" s="688"/>
      <c r="J691" s="688"/>
      <c r="K691" s="688"/>
      <c r="L691" s="55"/>
      <c r="M691" s="54"/>
    </row>
    <row r="692" spans="1:13" ht="15" customHeight="1" thickBot="1">
      <c r="A692" s="687" t="s">
        <v>46</v>
      </c>
      <c r="B692" s="688"/>
      <c r="C692" s="688"/>
      <c r="D692" s="688"/>
      <c r="E692" s="689"/>
      <c r="F692" s="54"/>
      <c r="H692" s="687" t="s">
        <v>46</v>
      </c>
      <c r="I692" s="688"/>
      <c r="J692" s="688"/>
      <c r="K692" s="688"/>
      <c r="L692" s="689"/>
      <c r="M692" s="54"/>
    </row>
    <row r="693" spans="1:13" ht="15" customHeight="1" thickBot="1">
      <c r="A693" s="687" t="s">
        <v>49</v>
      </c>
      <c r="B693" s="688"/>
      <c r="C693" s="688"/>
      <c r="D693" s="688"/>
      <c r="E693" s="56"/>
      <c r="F693" s="54"/>
      <c r="H693" s="687" t="s">
        <v>49</v>
      </c>
      <c r="I693" s="688"/>
      <c r="J693" s="688"/>
      <c r="K693" s="688"/>
      <c r="L693" s="56"/>
      <c r="M693" s="54"/>
    </row>
    <row r="694" spans="1:13" ht="15" customHeight="1" thickBot="1">
      <c r="A694" s="690" t="s">
        <v>50</v>
      </c>
      <c r="B694" s="691"/>
      <c r="C694" s="691"/>
      <c r="D694" s="691"/>
      <c r="E694" s="692"/>
      <c r="F694" s="57"/>
      <c r="H694" s="690" t="s">
        <v>50</v>
      </c>
      <c r="I694" s="691"/>
      <c r="J694" s="691"/>
      <c r="K694" s="691"/>
      <c r="L694" s="692"/>
      <c r="M694" s="57"/>
    </row>
    <row r="695" spans="1:13" ht="15" customHeight="1" thickBot="1">
      <c r="A695" s="693" t="s">
        <v>1461</v>
      </c>
      <c r="B695" s="694"/>
      <c r="C695" s="694"/>
      <c r="D695" s="694"/>
      <c r="E695" s="694"/>
      <c r="F695" s="695"/>
      <c r="H695" s="693" t="s">
        <v>51</v>
      </c>
      <c r="I695" s="694"/>
      <c r="J695" s="694"/>
      <c r="K695" s="694"/>
      <c r="L695" s="694"/>
      <c r="M695" s="695"/>
    </row>
  </sheetData>
  <mergeCells count="1725">
    <mergeCell ref="AJ557:AN557"/>
    <mergeCell ref="AJ558:AM558"/>
    <mergeCell ref="AJ559:AN559"/>
    <mergeCell ref="AJ560:AO560"/>
    <mergeCell ref="BL420:BQ420"/>
    <mergeCell ref="BM421:BP421"/>
    <mergeCell ref="BM422:BP422"/>
    <mergeCell ref="BL423:BQ423"/>
    <mergeCell ref="BL432:BP432"/>
    <mergeCell ref="BL433:BQ433"/>
    <mergeCell ref="BL437:BP437"/>
    <mergeCell ref="BL438:BQ438"/>
    <mergeCell ref="BL441:BP441"/>
    <mergeCell ref="BL442:BQ442"/>
    <mergeCell ref="BL446:BP446"/>
    <mergeCell ref="BL447:BQ447"/>
    <mergeCell ref="BL455:BP455"/>
    <mergeCell ref="BL457:BP457"/>
    <mergeCell ref="BL458:BO458"/>
    <mergeCell ref="BL459:BP459"/>
    <mergeCell ref="BL460:BO460"/>
    <mergeCell ref="BL461:BP461"/>
    <mergeCell ref="BL462:BO462"/>
    <mergeCell ref="BL463:BP463"/>
    <mergeCell ref="BL464:BO464"/>
    <mergeCell ref="BL465:BP465"/>
    <mergeCell ref="BL466:BQ466"/>
    <mergeCell ref="AJ514:AO514"/>
    <mergeCell ref="AK515:AN515"/>
    <mergeCell ref="AK516:AN516"/>
    <mergeCell ref="AJ530:AO530"/>
    <mergeCell ref="AJ534:AN534"/>
    <mergeCell ref="AJ535:AO535"/>
    <mergeCell ref="AJ538:AN538"/>
    <mergeCell ref="AJ539:AO539"/>
    <mergeCell ref="AJ543:AN543"/>
    <mergeCell ref="AJ544:AO544"/>
    <mergeCell ref="AJ549:AN549"/>
    <mergeCell ref="AJ551:AN551"/>
    <mergeCell ref="AJ552:AM552"/>
    <mergeCell ref="AJ553:AN553"/>
    <mergeCell ref="AJ554:AM554"/>
    <mergeCell ref="O649:S649"/>
    <mergeCell ref="O650:T650"/>
    <mergeCell ref="V607:AA607"/>
    <mergeCell ref="W608:Z608"/>
    <mergeCell ref="W609:Z609"/>
    <mergeCell ref="V610:AA610"/>
    <mergeCell ref="V619:Z619"/>
    <mergeCell ref="V620:AA620"/>
    <mergeCell ref="V624:Z624"/>
    <mergeCell ref="V625:AA625"/>
    <mergeCell ref="V628:Z628"/>
    <mergeCell ref="V629:AA629"/>
    <mergeCell ref="V633:Z633"/>
    <mergeCell ref="V634:AA634"/>
    <mergeCell ref="V639:Z639"/>
    <mergeCell ref="V641:Z641"/>
    <mergeCell ref="V642:Y642"/>
    <mergeCell ref="V643:Z643"/>
    <mergeCell ref="AJ555:AN555"/>
    <mergeCell ref="AJ556:AM556"/>
    <mergeCell ref="O639:S639"/>
    <mergeCell ref="O641:S641"/>
    <mergeCell ref="O642:R642"/>
    <mergeCell ref="O643:S643"/>
    <mergeCell ref="O644:R644"/>
    <mergeCell ref="V644:Y644"/>
    <mergeCell ref="V645:Z645"/>
    <mergeCell ref="V646:Y646"/>
    <mergeCell ref="V647:Z647"/>
    <mergeCell ref="V648:Y648"/>
    <mergeCell ref="V649:Z649"/>
    <mergeCell ref="V650:AA650"/>
    <mergeCell ref="H639:L639"/>
    <mergeCell ref="H641:L641"/>
    <mergeCell ref="H642:K642"/>
    <mergeCell ref="H643:L643"/>
    <mergeCell ref="H644:K644"/>
    <mergeCell ref="H645:L645"/>
    <mergeCell ref="H646:K646"/>
    <mergeCell ref="H647:L647"/>
    <mergeCell ref="H648:K648"/>
    <mergeCell ref="H649:L649"/>
    <mergeCell ref="H650:M650"/>
    <mergeCell ref="O645:S645"/>
    <mergeCell ref="O646:R646"/>
    <mergeCell ref="O647:S647"/>
    <mergeCell ref="O648:R648"/>
    <mergeCell ref="H628:L628"/>
    <mergeCell ref="H629:M629"/>
    <mergeCell ref="H633:L633"/>
    <mergeCell ref="H634:M634"/>
    <mergeCell ref="AC600:AG600"/>
    <mergeCell ref="AC601:AF601"/>
    <mergeCell ref="AC602:AG602"/>
    <mergeCell ref="AC603:AF603"/>
    <mergeCell ref="AC604:AG604"/>
    <mergeCell ref="AC605:AH605"/>
    <mergeCell ref="H602:L602"/>
    <mergeCell ref="H603:K603"/>
    <mergeCell ref="H604:L604"/>
    <mergeCell ref="O607:T607"/>
    <mergeCell ref="P608:S608"/>
    <mergeCell ref="P609:S609"/>
    <mergeCell ref="O610:T610"/>
    <mergeCell ref="O619:S619"/>
    <mergeCell ref="O620:T620"/>
    <mergeCell ref="O624:S624"/>
    <mergeCell ref="O625:T625"/>
    <mergeCell ref="O628:S628"/>
    <mergeCell ref="O629:T629"/>
    <mergeCell ref="O633:S633"/>
    <mergeCell ref="O634:T634"/>
    <mergeCell ref="V579:Z579"/>
    <mergeCell ref="V580:AA580"/>
    <mergeCell ref="AJ600:AN600"/>
    <mergeCell ref="AJ601:AM601"/>
    <mergeCell ref="AJ602:AN602"/>
    <mergeCell ref="AJ603:AM603"/>
    <mergeCell ref="AJ604:AN604"/>
    <mergeCell ref="AJ605:AO605"/>
    <mergeCell ref="AJ562:AO562"/>
    <mergeCell ref="AK563:AN563"/>
    <mergeCell ref="AK564:AN564"/>
    <mergeCell ref="AJ565:AO565"/>
    <mergeCell ref="AJ574:AN574"/>
    <mergeCell ref="AJ575:AO575"/>
    <mergeCell ref="AJ579:AN579"/>
    <mergeCell ref="AJ580:AO580"/>
    <mergeCell ref="AJ583:AN583"/>
    <mergeCell ref="AJ584:AO584"/>
    <mergeCell ref="AJ588:AN588"/>
    <mergeCell ref="AJ589:AO589"/>
    <mergeCell ref="AC562:AH562"/>
    <mergeCell ref="AD563:AG563"/>
    <mergeCell ref="AD564:AG564"/>
    <mergeCell ref="AC565:AH565"/>
    <mergeCell ref="AC574:AG574"/>
    <mergeCell ref="AC575:AH575"/>
    <mergeCell ref="AJ594:AN594"/>
    <mergeCell ref="AJ596:AN596"/>
    <mergeCell ref="AJ597:AM597"/>
    <mergeCell ref="AJ598:AN598"/>
    <mergeCell ref="AJ599:AM599"/>
    <mergeCell ref="O579:S579"/>
    <mergeCell ref="O580:T580"/>
    <mergeCell ref="O583:S583"/>
    <mergeCell ref="O584:T584"/>
    <mergeCell ref="O588:S588"/>
    <mergeCell ref="O589:T589"/>
    <mergeCell ref="O594:S594"/>
    <mergeCell ref="O596:S596"/>
    <mergeCell ref="O597:R597"/>
    <mergeCell ref="O598:S598"/>
    <mergeCell ref="O599:R599"/>
    <mergeCell ref="O600:S600"/>
    <mergeCell ref="AC579:AG579"/>
    <mergeCell ref="AC580:AH580"/>
    <mergeCell ref="AC583:AG583"/>
    <mergeCell ref="AC584:AH584"/>
    <mergeCell ref="AC588:AG588"/>
    <mergeCell ref="AC589:AH589"/>
    <mergeCell ref="AC594:AG594"/>
    <mergeCell ref="AC596:AG596"/>
    <mergeCell ref="AC597:AF597"/>
    <mergeCell ref="AC598:AG598"/>
    <mergeCell ref="AC599:AF599"/>
    <mergeCell ref="V583:Z583"/>
    <mergeCell ref="V584:AA584"/>
    <mergeCell ref="V588:Z588"/>
    <mergeCell ref="V589:AA589"/>
    <mergeCell ref="V594:Z594"/>
    <mergeCell ref="V596:Z596"/>
    <mergeCell ref="V597:Y597"/>
    <mergeCell ref="V598:Z598"/>
    <mergeCell ref="V599:Y599"/>
    <mergeCell ref="H579:L579"/>
    <mergeCell ref="H580:M580"/>
    <mergeCell ref="H583:L583"/>
    <mergeCell ref="H584:M584"/>
    <mergeCell ref="H588:L588"/>
    <mergeCell ref="H589:M589"/>
    <mergeCell ref="H594:L594"/>
    <mergeCell ref="H596:L596"/>
    <mergeCell ref="H597:K597"/>
    <mergeCell ref="H598:L598"/>
    <mergeCell ref="H599:K599"/>
    <mergeCell ref="H600:L600"/>
    <mergeCell ref="H601:K601"/>
    <mergeCell ref="A584:F584"/>
    <mergeCell ref="A588:E588"/>
    <mergeCell ref="A589:F589"/>
    <mergeCell ref="A594:E594"/>
    <mergeCell ref="A596:E596"/>
    <mergeCell ref="A597:D597"/>
    <mergeCell ref="A598:E598"/>
    <mergeCell ref="A599:D599"/>
    <mergeCell ref="A579:E579"/>
    <mergeCell ref="A580:F580"/>
    <mergeCell ref="A583:E583"/>
    <mergeCell ref="BL510:BO510"/>
    <mergeCell ref="BL511:BP511"/>
    <mergeCell ref="BL512:BQ512"/>
    <mergeCell ref="BE509:BI509"/>
    <mergeCell ref="BE510:BH510"/>
    <mergeCell ref="BE511:BI511"/>
    <mergeCell ref="BE512:BJ512"/>
    <mergeCell ref="A558:D558"/>
    <mergeCell ref="A549:E549"/>
    <mergeCell ref="A551:E551"/>
    <mergeCell ref="A552:D552"/>
    <mergeCell ref="A553:E553"/>
    <mergeCell ref="A514:F514"/>
    <mergeCell ref="B515:E515"/>
    <mergeCell ref="B516:E516"/>
    <mergeCell ref="A517:F517"/>
    <mergeCell ref="A554:D554"/>
    <mergeCell ref="A555:E555"/>
    <mergeCell ref="A556:D556"/>
    <mergeCell ref="A557:E557"/>
    <mergeCell ref="A529:E529"/>
    <mergeCell ref="A530:F530"/>
    <mergeCell ref="A538:E538"/>
    <mergeCell ref="A539:F539"/>
    <mergeCell ref="A543:E543"/>
    <mergeCell ref="A544:F544"/>
    <mergeCell ref="O514:T514"/>
    <mergeCell ref="P515:S515"/>
    <mergeCell ref="P516:S516"/>
    <mergeCell ref="O517:T517"/>
    <mergeCell ref="O529:S529"/>
    <mergeCell ref="O530:T530"/>
    <mergeCell ref="O562:T562"/>
    <mergeCell ref="A534:E534"/>
    <mergeCell ref="H562:M562"/>
    <mergeCell ref="I563:L563"/>
    <mergeCell ref="I564:L564"/>
    <mergeCell ref="H565:M565"/>
    <mergeCell ref="H574:L574"/>
    <mergeCell ref="BL482:BQ482"/>
    <mergeCell ref="BL486:BP486"/>
    <mergeCell ref="BL487:BQ487"/>
    <mergeCell ref="BL490:BP490"/>
    <mergeCell ref="BL491:BQ491"/>
    <mergeCell ref="BL495:BP495"/>
    <mergeCell ref="BL496:BQ496"/>
    <mergeCell ref="BL501:BP501"/>
    <mergeCell ref="BL503:BP503"/>
    <mergeCell ref="BL504:BO504"/>
    <mergeCell ref="BL505:BP505"/>
    <mergeCell ref="BL506:BO506"/>
    <mergeCell ref="B563:E563"/>
    <mergeCell ref="B564:E564"/>
    <mergeCell ref="A565:F565"/>
    <mergeCell ref="A574:E574"/>
    <mergeCell ref="AC491:AH491"/>
    <mergeCell ref="AC495:AG495"/>
    <mergeCell ref="AC496:AH496"/>
    <mergeCell ref="AC501:AG501"/>
    <mergeCell ref="AC503:AG503"/>
    <mergeCell ref="A491:F491"/>
    <mergeCell ref="A495:E495"/>
    <mergeCell ref="A496:F496"/>
    <mergeCell ref="A501:E501"/>
    <mergeCell ref="A575:F575"/>
    <mergeCell ref="H575:M575"/>
    <mergeCell ref="A562:F562"/>
    <mergeCell ref="P563:S563"/>
    <mergeCell ref="P564:S564"/>
    <mergeCell ref="O565:T565"/>
    <mergeCell ref="O574:S574"/>
    <mergeCell ref="O575:T575"/>
    <mergeCell ref="V562:AA562"/>
    <mergeCell ref="W563:Z563"/>
    <mergeCell ref="W564:Z564"/>
    <mergeCell ref="V565:AA565"/>
    <mergeCell ref="V574:Z574"/>
    <mergeCell ref="V575:AA575"/>
    <mergeCell ref="AJ517:AO517"/>
    <mergeCell ref="AJ529:AN529"/>
    <mergeCell ref="BL507:BP507"/>
    <mergeCell ref="BL508:BO508"/>
    <mergeCell ref="BL509:BP509"/>
    <mergeCell ref="AC508:AF508"/>
    <mergeCell ref="AC509:AG509"/>
    <mergeCell ref="AC510:AF510"/>
    <mergeCell ref="AC511:AG511"/>
    <mergeCell ref="AC512:AH512"/>
    <mergeCell ref="BE507:BI507"/>
    <mergeCell ref="BE508:BH508"/>
    <mergeCell ref="A508:D508"/>
    <mergeCell ref="A509:E509"/>
    <mergeCell ref="A510:D510"/>
    <mergeCell ref="A511:E511"/>
    <mergeCell ref="A512:F512"/>
    <mergeCell ref="A535:F535"/>
    <mergeCell ref="BE469:BJ469"/>
    <mergeCell ref="BF470:BI470"/>
    <mergeCell ref="BF471:BI471"/>
    <mergeCell ref="BE472:BJ472"/>
    <mergeCell ref="BE481:BI481"/>
    <mergeCell ref="BE482:BJ482"/>
    <mergeCell ref="BE486:BI486"/>
    <mergeCell ref="BE487:BJ487"/>
    <mergeCell ref="BE490:BI490"/>
    <mergeCell ref="BE491:BJ491"/>
    <mergeCell ref="BE495:BI495"/>
    <mergeCell ref="BE496:BJ496"/>
    <mergeCell ref="BE501:BI501"/>
    <mergeCell ref="BE503:BI503"/>
    <mergeCell ref="BE504:BH504"/>
    <mergeCell ref="BE505:BI505"/>
    <mergeCell ref="BE506:BH506"/>
    <mergeCell ref="A507:E507"/>
    <mergeCell ref="H482:M482"/>
    <mergeCell ref="H486:L486"/>
    <mergeCell ref="H487:M487"/>
    <mergeCell ref="H490:L490"/>
    <mergeCell ref="H491:M491"/>
    <mergeCell ref="H495:L495"/>
    <mergeCell ref="H496:M496"/>
    <mergeCell ref="H501:L501"/>
    <mergeCell ref="H503:L503"/>
    <mergeCell ref="H504:K504"/>
    <mergeCell ref="H505:L505"/>
    <mergeCell ref="H506:K506"/>
    <mergeCell ref="H507:L507"/>
    <mergeCell ref="A482:F482"/>
    <mergeCell ref="A486:E486"/>
    <mergeCell ref="A487:F487"/>
    <mergeCell ref="A490:E490"/>
    <mergeCell ref="A503:E503"/>
    <mergeCell ref="A469:F469"/>
    <mergeCell ref="B470:E470"/>
    <mergeCell ref="B471:E471"/>
    <mergeCell ref="A472:F472"/>
    <mergeCell ref="A481:E481"/>
    <mergeCell ref="H464:L464"/>
    <mergeCell ref="H465:K465"/>
    <mergeCell ref="H466:L466"/>
    <mergeCell ref="H467:M467"/>
    <mergeCell ref="H469:M469"/>
    <mergeCell ref="I470:L470"/>
    <mergeCell ref="I471:L471"/>
    <mergeCell ref="H472:M472"/>
    <mergeCell ref="H481:L481"/>
    <mergeCell ref="A504:D504"/>
    <mergeCell ref="A505:E505"/>
    <mergeCell ref="A506:D506"/>
    <mergeCell ref="A464:E464"/>
    <mergeCell ref="A465:D465"/>
    <mergeCell ref="A466:E466"/>
    <mergeCell ref="A467:F467"/>
    <mergeCell ref="V469:AA469"/>
    <mergeCell ref="W470:Z470"/>
    <mergeCell ref="O462:S462"/>
    <mergeCell ref="O463:S463"/>
    <mergeCell ref="O464:S464"/>
    <mergeCell ref="O465:S465"/>
    <mergeCell ref="O466:S466"/>
    <mergeCell ref="V420:AA420"/>
    <mergeCell ref="W421:Z421"/>
    <mergeCell ref="W422:Z422"/>
    <mergeCell ref="V423:AA423"/>
    <mergeCell ref="V432:Z432"/>
    <mergeCell ref="V433:AA433"/>
    <mergeCell ref="V438:Z438"/>
    <mergeCell ref="V439:AA439"/>
    <mergeCell ref="V442:Z442"/>
    <mergeCell ref="V443:AA443"/>
    <mergeCell ref="V448:Z448"/>
    <mergeCell ref="V449:AA449"/>
    <mergeCell ref="V456:Z456"/>
    <mergeCell ref="V458:Z458"/>
    <mergeCell ref="V459:Y459"/>
    <mergeCell ref="V460:Z460"/>
    <mergeCell ref="V464:Z464"/>
    <mergeCell ref="V465:Y465"/>
    <mergeCell ref="V466:Z466"/>
    <mergeCell ref="V467:AA467"/>
    <mergeCell ref="V461:Y461"/>
    <mergeCell ref="V462:Z462"/>
    <mergeCell ref="V463:Y463"/>
    <mergeCell ref="O443:T443"/>
    <mergeCell ref="O448:S448"/>
    <mergeCell ref="O449:T449"/>
    <mergeCell ref="O455:S455"/>
    <mergeCell ref="O457:S457"/>
    <mergeCell ref="O458:S458"/>
    <mergeCell ref="O459:S459"/>
    <mergeCell ref="O460:S460"/>
    <mergeCell ref="O461:S461"/>
    <mergeCell ref="O420:T420"/>
    <mergeCell ref="P421:S421"/>
    <mergeCell ref="P422:S422"/>
    <mergeCell ref="O423:T423"/>
    <mergeCell ref="O432:S432"/>
    <mergeCell ref="O433:T433"/>
    <mergeCell ref="O438:S438"/>
    <mergeCell ref="O439:T439"/>
    <mergeCell ref="O442:S442"/>
    <mergeCell ref="A463:D463"/>
    <mergeCell ref="H463:K463"/>
    <mergeCell ref="H420:M420"/>
    <mergeCell ref="I421:L421"/>
    <mergeCell ref="I422:L422"/>
    <mergeCell ref="H423:M423"/>
    <mergeCell ref="H432:L432"/>
    <mergeCell ref="H433:M433"/>
    <mergeCell ref="H438:L438"/>
    <mergeCell ref="H439:M439"/>
    <mergeCell ref="H442:L442"/>
    <mergeCell ref="H443:M443"/>
    <mergeCell ref="H448:L448"/>
    <mergeCell ref="H449:M449"/>
    <mergeCell ref="H456:L456"/>
    <mergeCell ref="H458:L458"/>
    <mergeCell ref="H459:K459"/>
    <mergeCell ref="H460:L460"/>
    <mergeCell ref="H461:K461"/>
    <mergeCell ref="H462:L462"/>
    <mergeCell ref="A443:F443"/>
    <mergeCell ref="A448:E448"/>
    <mergeCell ref="A449:F449"/>
    <mergeCell ref="A456:E456"/>
    <mergeCell ref="A458:E458"/>
    <mergeCell ref="A459:D459"/>
    <mergeCell ref="A460:E460"/>
    <mergeCell ref="A461:D461"/>
    <mergeCell ref="A462:E462"/>
    <mergeCell ref="A420:F420"/>
    <mergeCell ref="B421:E421"/>
    <mergeCell ref="B422:E422"/>
    <mergeCell ref="A423:F423"/>
    <mergeCell ref="A432:E432"/>
    <mergeCell ref="A433:F433"/>
    <mergeCell ref="A438:E438"/>
    <mergeCell ref="A439:F439"/>
    <mergeCell ref="A442:E442"/>
    <mergeCell ref="H418:M418"/>
    <mergeCell ref="A407:E407"/>
    <mergeCell ref="A409:E409"/>
    <mergeCell ref="A411:E411"/>
    <mergeCell ref="A413:E413"/>
    <mergeCell ref="A415:E415"/>
    <mergeCell ref="A417:E417"/>
    <mergeCell ref="A416:E416"/>
    <mergeCell ref="A418:F418"/>
    <mergeCell ref="H414:K414"/>
    <mergeCell ref="H411:L411"/>
    <mergeCell ref="H412:K412"/>
    <mergeCell ref="H413:L413"/>
    <mergeCell ref="H415:L415"/>
    <mergeCell ref="H416:K416"/>
    <mergeCell ref="H417:L417"/>
    <mergeCell ref="H374:M374"/>
    <mergeCell ref="I375:L375"/>
    <mergeCell ref="I376:L376"/>
    <mergeCell ref="H377:M377"/>
    <mergeCell ref="H386:L386"/>
    <mergeCell ref="H387:M387"/>
    <mergeCell ref="H391:L391"/>
    <mergeCell ref="H392:M392"/>
    <mergeCell ref="H395:L395"/>
    <mergeCell ref="A397:F397"/>
    <mergeCell ref="A402:E402"/>
    <mergeCell ref="A403:F403"/>
    <mergeCell ref="A410:E410"/>
    <mergeCell ref="A412:E412"/>
    <mergeCell ref="A414:E414"/>
    <mergeCell ref="H410:K410"/>
    <mergeCell ref="A374:F374"/>
    <mergeCell ref="B375:E375"/>
    <mergeCell ref="B376:E376"/>
    <mergeCell ref="A377:F377"/>
    <mergeCell ref="A386:E386"/>
    <mergeCell ref="A387:F387"/>
    <mergeCell ref="A392:E392"/>
    <mergeCell ref="A393:F393"/>
    <mergeCell ref="A396:E396"/>
    <mergeCell ref="H396:M396"/>
    <mergeCell ref="H400:L400"/>
    <mergeCell ref="H401:M401"/>
    <mergeCell ref="H407:L407"/>
    <mergeCell ref="H409:L409"/>
    <mergeCell ref="V369:Z369"/>
    <mergeCell ref="V370:Y370"/>
    <mergeCell ref="AC332:AH332"/>
    <mergeCell ref="AC341:AG341"/>
    <mergeCell ref="AC342:AH342"/>
    <mergeCell ref="AC346:AG346"/>
    <mergeCell ref="AC347:AH347"/>
    <mergeCell ref="AC350:AG350"/>
    <mergeCell ref="AC351:AH351"/>
    <mergeCell ref="AC355:AG355"/>
    <mergeCell ref="AC356:AH356"/>
    <mergeCell ref="AC361:AG361"/>
    <mergeCell ref="AC363:AG363"/>
    <mergeCell ref="AC364:AF364"/>
    <mergeCell ref="AC365:AG365"/>
    <mergeCell ref="AC366:AF366"/>
    <mergeCell ref="AC372:AH372"/>
    <mergeCell ref="V371:Z371"/>
    <mergeCell ref="V372:AA372"/>
    <mergeCell ref="AC367:AG367"/>
    <mergeCell ref="AC368:AF368"/>
    <mergeCell ref="AC369:AG369"/>
    <mergeCell ref="AC370:AF370"/>
    <mergeCell ref="AC371:AG371"/>
    <mergeCell ref="W331:Z331"/>
    <mergeCell ref="V332:AA332"/>
    <mergeCell ref="V341:Z341"/>
    <mergeCell ref="V342:AA342"/>
    <mergeCell ref="V346:Z346"/>
    <mergeCell ref="V347:AA347"/>
    <mergeCell ref="V350:Z350"/>
    <mergeCell ref="V351:AA351"/>
    <mergeCell ref="V355:Z355"/>
    <mergeCell ref="V356:AA356"/>
    <mergeCell ref="V361:Z361"/>
    <mergeCell ref="V363:Z363"/>
    <mergeCell ref="V364:Y364"/>
    <mergeCell ref="V365:Z365"/>
    <mergeCell ref="V366:Y366"/>
    <mergeCell ref="V367:Z367"/>
    <mergeCell ref="V368:Y368"/>
    <mergeCell ref="AC329:AH329"/>
    <mergeCell ref="AD330:AG330"/>
    <mergeCell ref="AD331:AG331"/>
    <mergeCell ref="H369:L369"/>
    <mergeCell ref="H370:K370"/>
    <mergeCell ref="H371:L371"/>
    <mergeCell ref="H372:M372"/>
    <mergeCell ref="O329:T329"/>
    <mergeCell ref="P330:S330"/>
    <mergeCell ref="P331:S331"/>
    <mergeCell ref="O332:T332"/>
    <mergeCell ref="O341:S341"/>
    <mergeCell ref="O342:T342"/>
    <mergeCell ref="O346:S346"/>
    <mergeCell ref="O347:T347"/>
    <mergeCell ref="O350:S350"/>
    <mergeCell ref="O351:T351"/>
    <mergeCell ref="O355:S355"/>
    <mergeCell ref="O356:T356"/>
    <mergeCell ref="O361:S361"/>
    <mergeCell ref="O363:S363"/>
    <mergeCell ref="O364:R364"/>
    <mergeCell ref="O365:S365"/>
    <mergeCell ref="O366:R366"/>
    <mergeCell ref="O367:S367"/>
    <mergeCell ref="O368:R368"/>
    <mergeCell ref="O369:S369"/>
    <mergeCell ref="O370:R370"/>
    <mergeCell ref="O371:S371"/>
    <mergeCell ref="O372:T372"/>
    <mergeCell ref="V329:AA329"/>
    <mergeCell ref="W330:Z330"/>
    <mergeCell ref="A368:D368"/>
    <mergeCell ref="A369:E369"/>
    <mergeCell ref="A370:D370"/>
    <mergeCell ref="A371:E371"/>
    <mergeCell ref="A372:F372"/>
    <mergeCell ref="H368:K368"/>
    <mergeCell ref="H329:M329"/>
    <mergeCell ref="I330:L330"/>
    <mergeCell ref="I331:L331"/>
    <mergeCell ref="H332:M332"/>
    <mergeCell ref="H341:L341"/>
    <mergeCell ref="H342:M342"/>
    <mergeCell ref="H346:L346"/>
    <mergeCell ref="H347:M347"/>
    <mergeCell ref="H350:L350"/>
    <mergeCell ref="H351:M351"/>
    <mergeCell ref="H355:L355"/>
    <mergeCell ref="H356:M356"/>
    <mergeCell ref="H361:L361"/>
    <mergeCell ref="H363:L363"/>
    <mergeCell ref="H364:K364"/>
    <mergeCell ref="H365:L365"/>
    <mergeCell ref="H366:K366"/>
    <mergeCell ref="H367:L367"/>
    <mergeCell ref="A351:F351"/>
    <mergeCell ref="A355:E355"/>
    <mergeCell ref="A356:F356"/>
    <mergeCell ref="A361:E361"/>
    <mergeCell ref="A363:E363"/>
    <mergeCell ref="A364:D364"/>
    <mergeCell ref="A365:E365"/>
    <mergeCell ref="A366:D366"/>
    <mergeCell ref="A367:E367"/>
    <mergeCell ref="A329:F329"/>
    <mergeCell ref="B330:E330"/>
    <mergeCell ref="B331:E331"/>
    <mergeCell ref="A332:F332"/>
    <mergeCell ref="A341:E341"/>
    <mergeCell ref="A342:F342"/>
    <mergeCell ref="A346:E346"/>
    <mergeCell ref="A347:F347"/>
    <mergeCell ref="A350:E350"/>
    <mergeCell ref="V226:AA226"/>
    <mergeCell ref="AC226:AH226"/>
    <mergeCell ref="O222:R222"/>
    <mergeCell ref="V222:Y222"/>
    <mergeCell ref="AC222:AF222"/>
    <mergeCell ref="O223:S223"/>
    <mergeCell ref="V223:Z223"/>
    <mergeCell ref="AC223:AG223"/>
    <mergeCell ref="O224:R224"/>
    <mergeCell ref="V224:Y224"/>
    <mergeCell ref="AC224:AF224"/>
    <mergeCell ref="A225:E225"/>
    <mergeCell ref="A226:F226"/>
    <mergeCell ref="A243:F243"/>
    <mergeCell ref="A247:E247"/>
    <mergeCell ref="A248:F248"/>
    <mergeCell ref="A251:E251"/>
    <mergeCell ref="A311:E311"/>
    <mergeCell ref="A231:F231"/>
    <mergeCell ref="A315:E315"/>
    <mergeCell ref="A316:D316"/>
    <mergeCell ref="A317:E317"/>
    <mergeCell ref="AC200:AG200"/>
    <mergeCell ref="V219:Z219"/>
    <mergeCell ref="AC219:AG219"/>
    <mergeCell ref="O220:R220"/>
    <mergeCell ref="V220:Y220"/>
    <mergeCell ref="AC220:AF220"/>
    <mergeCell ref="O221:S221"/>
    <mergeCell ref="V221:Z221"/>
    <mergeCell ref="AC221:AG221"/>
    <mergeCell ref="O225:S225"/>
    <mergeCell ref="V225:Z225"/>
    <mergeCell ref="AC225:AG225"/>
    <mergeCell ref="V210:AA210"/>
    <mergeCell ref="AC210:AH210"/>
    <mergeCell ref="O215:S215"/>
    <mergeCell ref="V215:Z215"/>
    <mergeCell ref="AC215:AG215"/>
    <mergeCell ref="O217:S217"/>
    <mergeCell ref="V217:Z217"/>
    <mergeCell ref="AC217:AG217"/>
    <mergeCell ref="O218:R218"/>
    <mergeCell ref="V218:Y218"/>
    <mergeCell ref="AC218:AF218"/>
    <mergeCell ref="H314:K314"/>
    <mergeCell ref="H315:L315"/>
    <mergeCell ref="H316:K316"/>
    <mergeCell ref="H317:L317"/>
    <mergeCell ref="H318:M318"/>
    <mergeCell ref="V48:AA48"/>
    <mergeCell ref="W49:Z49"/>
    <mergeCell ref="W50:Z50"/>
    <mergeCell ref="V51:AA51"/>
    <mergeCell ref="V60:Z60"/>
    <mergeCell ref="V61:AA61"/>
    <mergeCell ref="V65:Z65"/>
    <mergeCell ref="V66:AA66"/>
    <mergeCell ref="V69:Z69"/>
    <mergeCell ref="V70:AA70"/>
    <mergeCell ref="V74:Z74"/>
    <mergeCell ref="V75:AA75"/>
    <mergeCell ref="V80:Z80"/>
    <mergeCell ref="V82:Z82"/>
    <mergeCell ref="V83:Y83"/>
    <mergeCell ref="V84:Z84"/>
    <mergeCell ref="V201:AA201"/>
    <mergeCell ref="O204:S204"/>
    <mergeCell ref="V204:Z204"/>
    <mergeCell ref="O205:T205"/>
    <mergeCell ref="V205:AA205"/>
    <mergeCell ref="O209:S209"/>
    <mergeCell ref="V209:Z209"/>
    <mergeCell ref="V186:AA186"/>
    <mergeCell ref="O195:S195"/>
    <mergeCell ref="V195:Z195"/>
    <mergeCell ref="O196:T196"/>
    <mergeCell ref="H265:K265"/>
    <mergeCell ref="H266:L266"/>
    <mergeCell ref="H267:K267"/>
    <mergeCell ref="H268:L268"/>
    <mergeCell ref="H269:K269"/>
    <mergeCell ref="H270:L270"/>
    <mergeCell ref="H271:K271"/>
    <mergeCell ref="H272:L272"/>
    <mergeCell ref="H273:M273"/>
    <mergeCell ref="O131:S131"/>
    <mergeCell ref="O132:R132"/>
    <mergeCell ref="V183:AA183"/>
    <mergeCell ref="AC183:AH183"/>
    <mergeCell ref="P184:S184"/>
    <mergeCell ref="W184:Z184"/>
    <mergeCell ref="AD184:AG184"/>
    <mergeCell ref="P185:S185"/>
    <mergeCell ref="W185:Z185"/>
    <mergeCell ref="AD185:AG185"/>
    <mergeCell ref="O134:R134"/>
    <mergeCell ref="O135:S135"/>
    <mergeCell ref="O136:T136"/>
    <mergeCell ref="AC201:AH201"/>
    <mergeCell ref="AC204:AG204"/>
    <mergeCell ref="AC205:AH205"/>
    <mergeCell ref="AC209:AG209"/>
    <mergeCell ref="AC186:AH186"/>
    <mergeCell ref="AC195:AG195"/>
    <mergeCell ref="V196:AA196"/>
    <mergeCell ref="AC196:AH196"/>
    <mergeCell ref="O200:S200"/>
    <mergeCell ref="V200:Z200"/>
    <mergeCell ref="H297:M297"/>
    <mergeCell ref="H301:L301"/>
    <mergeCell ref="H302:M302"/>
    <mergeCell ref="H307:L307"/>
    <mergeCell ref="H309:L309"/>
    <mergeCell ref="H310:K310"/>
    <mergeCell ref="H311:L311"/>
    <mergeCell ref="H312:K312"/>
    <mergeCell ref="H313:L313"/>
    <mergeCell ref="H275:M275"/>
    <mergeCell ref="I276:L276"/>
    <mergeCell ref="I277:L277"/>
    <mergeCell ref="H278:M278"/>
    <mergeCell ref="H287:L287"/>
    <mergeCell ref="H288:M288"/>
    <mergeCell ref="H292:L292"/>
    <mergeCell ref="H293:M293"/>
    <mergeCell ref="H296:L296"/>
    <mergeCell ref="H252:M252"/>
    <mergeCell ref="H256:L256"/>
    <mergeCell ref="H257:M257"/>
    <mergeCell ref="H262:L262"/>
    <mergeCell ref="H264:L264"/>
    <mergeCell ref="O183:T183"/>
    <mergeCell ref="H228:M228"/>
    <mergeCell ref="I229:L229"/>
    <mergeCell ref="I230:L230"/>
    <mergeCell ref="H231:M231"/>
    <mergeCell ref="H242:L242"/>
    <mergeCell ref="H243:M243"/>
    <mergeCell ref="H247:L247"/>
    <mergeCell ref="H248:M248"/>
    <mergeCell ref="O186:T186"/>
    <mergeCell ref="O201:T201"/>
    <mergeCell ref="O210:T210"/>
    <mergeCell ref="O219:S219"/>
    <mergeCell ref="O226:T226"/>
    <mergeCell ref="H221:L221"/>
    <mergeCell ref="H222:K222"/>
    <mergeCell ref="H223:L223"/>
    <mergeCell ref="H224:K224"/>
    <mergeCell ref="H225:L225"/>
    <mergeCell ref="H226:M226"/>
    <mergeCell ref="H183:M183"/>
    <mergeCell ref="I184:L184"/>
    <mergeCell ref="I185:L185"/>
    <mergeCell ref="H186:M186"/>
    <mergeCell ref="H195:L195"/>
    <mergeCell ref="H201:M201"/>
    <mergeCell ref="H204:L204"/>
    <mergeCell ref="H205:M205"/>
    <mergeCell ref="H209:L209"/>
    <mergeCell ref="H210:M210"/>
    <mergeCell ref="H215:L215"/>
    <mergeCell ref="H217:L217"/>
    <mergeCell ref="H218:K218"/>
    <mergeCell ref="H219:L219"/>
    <mergeCell ref="H220:K220"/>
    <mergeCell ref="A215:E215"/>
    <mergeCell ref="A217:E217"/>
    <mergeCell ref="A218:D218"/>
    <mergeCell ref="A219:E219"/>
    <mergeCell ref="A220:D220"/>
    <mergeCell ref="O133:S133"/>
    <mergeCell ref="H251:L251"/>
    <mergeCell ref="A224:D224"/>
    <mergeCell ref="A186:F186"/>
    <mergeCell ref="A195:E195"/>
    <mergeCell ref="A196:F196"/>
    <mergeCell ref="A200:E200"/>
    <mergeCell ref="A201:F201"/>
    <mergeCell ref="A204:E204"/>
    <mergeCell ref="A205:F205"/>
    <mergeCell ref="A209:E209"/>
    <mergeCell ref="A210:F210"/>
    <mergeCell ref="A176:E176"/>
    <mergeCell ref="A177:D177"/>
    <mergeCell ref="A178:E178"/>
    <mergeCell ref="A179:D179"/>
    <mergeCell ref="A180:E180"/>
    <mergeCell ref="A181:F181"/>
    <mergeCell ref="A183:F183"/>
    <mergeCell ref="V13:Z13"/>
    <mergeCell ref="AC1:AH1"/>
    <mergeCell ref="AD2:AG2"/>
    <mergeCell ref="AD3:AG3"/>
    <mergeCell ref="AC4:AH4"/>
    <mergeCell ref="AC13:AG13"/>
    <mergeCell ref="AC14:AH14"/>
    <mergeCell ref="AC19:AG19"/>
    <mergeCell ref="AC20:AH20"/>
    <mergeCell ref="AC23:AG23"/>
    <mergeCell ref="AC34:AG34"/>
    <mergeCell ref="AC36:AG36"/>
    <mergeCell ref="AC37:AG37"/>
    <mergeCell ref="AC38:AG38"/>
    <mergeCell ref="AC39:AG39"/>
    <mergeCell ref="V14:AA14"/>
    <mergeCell ref="AC24:AH24"/>
    <mergeCell ref="AC29:AG29"/>
    <mergeCell ref="AC30:AH30"/>
    <mergeCell ref="V27:Z27"/>
    <mergeCell ref="W3:Z3"/>
    <mergeCell ref="W2:Z2"/>
    <mergeCell ref="V1:AA1"/>
    <mergeCell ref="V4:AA4"/>
    <mergeCell ref="V18:Z18"/>
    <mergeCell ref="V37:Y37"/>
    <mergeCell ref="V36:Z36"/>
    <mergeCell ref="V34:Z34"/>
    <mergeCell ref="V28:AA28"/>
    <mergeCell ref="V39:Y39"/>
    <mergeCell ref="O90:S90"/>
    <mergeCell ref="V88:Z88"/>
    <mergeCell ref="V89:Y89"/>
    <mergeCell ref="V90:Z90"/>
    <mergeCell ref="V22:Z22"/>
    <mergeCell ref="V44:Z44"/>
    <mergeCell ref="O70:T70"/>
    <mergeCell ref="O74:S74"/>
    <mergeCell ref="O75:T75"/>
    <mergeCell ref="O80:S80"/>
    <mergeCell ref="O82:S82"/>
    <mergeCell ref="B184:E184"/>
    <mergeCell ref="B185:E185"/>
    <mergeCell ref="H69:L69"/>
    <mergeCell ref="O24:T24"/>
    <mergeCell ref="O83:R83"/>
    <mergeCell ref="O84:S84"/>
    <mergeCell ref="V42:Z42"/>
    <mergeCell ref="V41:Y41"/>
    <mergeCell ref="V40:Z40"/>
    <mergeCell ref="H74:L74"/>
    <mergeCell ref="O69:S69"/>
    <mergeCell ref="A66:F66"/>
    <mergeCell ref="A65:E65"/>
    <mergeCell ref="O29:S29"/>
    <mergeCell ref="A51:F51"/>
    <mergeCell ref="A48:F48"/>
    <mergeCell ref="H29:L29"/>
    <mergeCell ref="A37:E37"/>
    <mergeCell ref="H30:M30"/>
    <mergeCell ref="H41:L41"/>
    <mergeCell ref="B49:E49"/>
    <mergeCell ref="H65:L65"/>
    <mergeCell ref="O65:S65"/>
    <mergeCell ref="O66:T66"/>
    <mergeCell ref="I49:L49"/>
    <mergeCell ref="H61:M61"/>
    <mergeCell ref="H60:L60"/>
    <mergeCell ref="A19:E19"/>
    <mergeCell ref="V38:Z38"/>
    <mergeCell ref="V23:AA23"/>
    <mergeCell ref="O88:S88"/>
    <mergeCell ref="O89:R89"/>
    <mergeCell ref="O19:S19"/>
    <mergeCell ref="O87:R87"/>
    <mergeCell ref="V19:AA19"/>
    <mergeCell ref="A1:F1"/>
    <mergeCell ref="P3:S3"/>
    <mergeCell ref="A13:E13"/>
    <mergeCell ref="O46:T46"/>
    <mergeCell ref="A4:F4"/>
    <mergeCell ref="O45:S45"/>
    <mergeCell ref="O44:R44"/>
    <mergeCell ref="A29:E29"/>
    <mergeCell ref="H1:M1"/>
    <mergeCell ref="O20:T20"/>
    <mergeCell ref="H24:M24"/>
    <mergeCell ref="O43:S43"/>
    <mergeCell ref="O14:T14"/>
    <mergeCell ref="P2:S2"/>
    <mergeCell ref="A23:E23"/>
    <mergeCell ref="H46:M46"/>
    <mergeCell ref="H48:M48"/>
    <mergeCell ref="O1:T1"/>
    <mergeCell ref="H4:M4"/>
    <mergeCell ref="O41:S41"/>
    <mergeCell ref="A35:E35"/>
    <mergeCell ref="A38:D38"/>
    <mergeCell ref="B3:E3"/>
    <mergeCell ref="I2:L2"/>
    <mergeCell ref="O42:R42"/>
    <mergeCell ref="A24:F24"/>
    <mergeCell ref="H42:K42"/>
    <mergeCell ref="O13:S13"/>
    <mergeCell ref="I3:L3"/>
    <mergeCell ref="O4:T4"/>
    <mergeCell ref="B2:E2"/>
    <mergeCell ref="H13:L13"/>
    <mergeCell ref="A14:F14"/>
    <mergeCell ref="H45:L45"/>
    <mergeCell ref="H44:K44"/>
    <mergeCell ref="H43:L43"/>
    <mergeCell ref="H14:M14"/>
    <mergeCell ref="A20:F20"/>
    <mergeCell ref="A42:D42"/>
    <mergeCell ref="O48:T48"/>
    <mergeCell ref="P49:S49"/>
    <mergeCell ref="P50:S50"/>
    <mergeCell ref="O51:T51"/>
    <mergeCell ref="O60:S60"/>
    <mergeCell ref="O61:T61"/>
    <mergeCell ref="A60:E60"/>
    <mergeCell ref="H51:M51"/>
    <mergeCell ref="H23:L23"/>
    <mergeCell ref="I50:L50"/>
    <mergeCell ref="O30:T30"/>
    <mergeCell ref="H20:M20"/>
    <mergeCell ref="H19:L19"/>
    <mergeCell ref="A41:E41"/>
    <mergeCell ref="A40:D40"/>
    <mergeCell ref="H40:K40"/>
    <mergeCell ref="H39:L39"/>
    <mergeCell ref="H38:K38"/>
    <mergeCell ref="H37:L37"/>
    <mergeCell ref="O23:S23"/>
    <mergeCell ref="A61:F61"/>
    <mergeCell ref="B50:E50"/>
    <mergeCell ref="A30:F30"/>
    <mergeCell ref="O37:S37"/>
    <mergeCell ref="H35:L35"/>
    <mergeCell ref="A242:E242"/>
    <mergeCell ref="A85:D85"/>
    <mergeCell ref="A39:E39"/>
    <mergeCell ref="A45:E45"/>
    <mergeCell ref="A44:D44"/>
    <mergeCell ref="A43:E43"/>
    <mergeCell ref="A86:E86"/>
    <mergeCell ref="A46:F46"/>
    <mergeCell ref="A83:D83"/>
    <mergeCell ref="A82:E82"/>
    <mergeCell ref="A91:F91"/>
    <mergeCell ref="A80:E80"/>
    <mergeCell ref="A70:F70"/>
    <mergeCell ref="A75:F75"/>
    <mergeCell ref="A93:F93"/>
    <mergeCell ref="B94:E94"/>
    <mergeCell ref="B95:E95"/>
    <mergeCell ref="A96:F96"/>
    <mergeCell ref="A105:E105"/>
    <mergeCell ref="A74:E74"/>
    <mergeCell ref="A69:E69"/>
    <mergeCell ref="A110:E110"/>
    <mergeCell ref="A111:F111"/>
    <mergeCell ref="A228:F228"/>
    <mergeCell ref="B229:E229"/>
    <mergeCell ref="B230:E230"/>
    <mergeCell ref="A172:E172"/>
    <mergeCell ref="A173:D173"/>
    <mergeCell ref="A114:E114"/>
    <mergeCell ref="A115:F115"/>
    <mergeCell ref="A119:E119"/>
    <mergeCell ref="A120:F120"/>
    <mergeCell ref="A89:D89"/>
    <mergeCell ref="A90:E90"/>
    <mergeCell ref="A88:E88"/>
    <mergeCell ref="A87:D87"/>
    <mergeCell ref="A84:E84"/>
    <mergeCell ref="A130:D130"/>
    <mergeCell ref="A131:E131"/>
    <mergeCell ref="A132:D132"/>
    <mergeCell ref="A133:E133"/>
    <mergeCell ref="A134:D134"/>
    <mergeCell ref="A135:E135"/>
    <mergeCell ref="H134:K134"/>
    <mergeCell ref="H135:L135"/>
    <mergeCell ref="H136:M136"/>
    <mergeCell ref="H131:L131"/>
    <mergeCell ref="H132:K132"/>
    <mergeCell ref="H133:L133"/>
    <mergeCell ref="H110:L110"/>
    <mergeCell ref="H111:M111"/>
    <mergeCell ref="H114:L114"/>
    <mergeCell ref="H115:M115"/>
    <mergeCell ref="A106:F106"/>
    <mergeCell ref="H119:L119"/>
    <mergeCell ref="H120:M120"/>
    <mergeCell ref="H90:L90"/>
    <mergeCell ref="H89:K89"/>
    <mergeCell ref="H88:L88"/>
    <mergeCell ref="A252:F252"/>
    <mergeCell ref="A256:E256"/>
    <mergeCell ref="A257:F257"/>
    <mergeCell ref="A262:E262"/>
    <mergeCell ref="A264:E264"/>
    <mergeCell ref="A265:D265"/>
    <mergeCell ref="A266:E266"/>
    <mergeCell ref="A267:D267"/>
    <mergeCell ref="A268:E268"/>
    <mergeCell ref="A125:E125"/>
    <mergeCell ref="A127:E127"/>
    <mergeCell ref="A128:D128"/>
    <mergeCell ref="A129:E129"/>
    <mergeCell ref="A159:E159"/>
    <mergeCell ref="A160:F160"/>
    <mergeCell ref="A164:E164"/>
    <mergeCell ref="A165:F165"/>
    <mergeCell ref="A170:E170"/>
    <mergeCell ref="A174:E174"/>
    <mergeCell ref="A175:D175"/>
    <mergeCell ref="A136:F136"/>
    <mergeCell ref="A138:F138"/>
    <mergeCell ref="B139:E139"/>
    <mergeCell ref="B140:E140"/>
    <mergeCell ref="A141:F141"/>
    <mergeCell ref="A150:E150"/>
    <mergeCell ref="A151:F151"/>
    <mergeCell ref="A155:E155"/>
    <mergeCell ref="A156:F156"/>
    <mergeCell ref="A221:E221"/>
    <mergeCell ref="A222:D222"/>
    <mergeCell ref="A223:E223"/>
    <mergeCell ref="A318:F318"/>
    <mergeCell ref="A269:D269"/>
    <mergeCell ref="A270:E270"/>
    <mergeCell ref="A271:D271"/>
    <mergeCell ref="A272:E272"/>
    <mergeCell ref="A273:F273"/>
    <mergeCell ref="A275:F275"/>
    <mergeCell ref="B276:E276"/>
    <mergeCell ref="B277:E277"/>
    <mergeCell ref="A278:F278"/>
    <mergeCell ref="A287:E287"/>
    <mergeCell ref="A288:F288"/>
    <mergeCell ref="A292:E292"/>
    <mergeCell ref="A293:F293"/>
    <mergeCell ref="A296:E296"/>
    <mergeCell ref="A297:F297"/>
    <mergeCell ref="A301:E301"/>
    <mergeCell ref="A302:F302"/>
    <mergeCell ref="A307:E307"/>
    <mergeCell ref="A309:E309"/>
    <mergeCell ref="A310:D310"/>
    <mergeCell ref="A312:D312"/>
    <mergeCell ref="A313:E313"/>
    <mergeCell ref="A314:D314"/>
    <mergeCell ref="AC40:AG40"/>
    <mergeCell ref="AC41:AG41"/>
    <mergeCell ref="AC42:AG42"/>
    <mergeCell ref="H93:M93"/>
    <mergeCell ref="O35:S35"/>
    <mergeCell ref="H87:K87"/>
    <mergeCell ref="H70:M70"/>
    <mergeCell ref="O40:R40"/>
    <mergeCell ref="O39:S39"/>
    <mergeCell ref="H66:M66"/>
    <mergeCell ref="O38:R38"/>
    <mergeCell ref="O91:T91"/>
    <mergeCell ref="H84:L84"/>
    <mergeCell ref="H83:K83"/>
    <mergeCell ref="H82:L82"/>
    <mergeCell ref="H80:L80"/>
    <mergeCell ref="H75:M75"/>
    <mergeCell ref="H86:L86"/>
    <mergeCell ref="H91:M91"/>
    <mergeCell ref="V45:AA45"/>
    <mergeCell ref="AC44:AG44"/>
    <mergeCell ref="AC45:AG45"/>
    <mergeCell ref="AC43:AG43"/>
    <mergeCell ref="V91:AA91"/>
    <mergeCell ref="O85:R85"/>
    <mergeCell ref="O86:S86"/>
    <mergeCell ref="V43:Y43"/>
    <mergeCell ref="H85:K85"/>
    <mergeCell ref="V85:Y85"/>
    <mergeCell ref="V86:Z86"/>
    <mergeCell ref="V87:Y87"/>
    <mergeCell ref="O93:T93"/>
    <mergeCell ref="H557:L557"/>
    <mergeCell ref="H558:K558"/>
    <mergeCell ref="H559:L559"/>
    <mergeCell ref="H560:M560"/>
    <mergeCell ref="P94:S94"/>
    <mergeCell ref="P95:S95"/>
    <mergeCell ref="O96:T96"/>
    <mergeCell ref="O105:S105"/>
    <mergeCell ref="O106:T106"/>
    <mergeCell ref="O110:S110"/>
    <mergeCell ref="O111:T111"/>
    <mergeCell ref="O114:S114"/>
    <mergeCell ref="O115:T115"/>
    <mergeCell ref="O119:S119"/>
    <mergeCell ref="O120:T120"/>
    <mergeCell ref="O125:S125"/>
    <mergeCell ref="O127:S127"/>
    <mergeCell ref="O128:R128"/>
    <mergeCell ref="O129:S129"/>
    <mergeCell ref="O130:R130"/>
    <mergeCell ref="I94:L94"/>
    <mergeCell ref="I95:L95"/>
    <mergeCell ref="H96:M96"/>
    <mergeCell ref="H105:L105"/>
    <mergeCell ref="H125:L125"/>
    <mergeCell ref="H128:K128"/>
    <mergeCell ref="H129:L129"/>
    <mergeCell ref="H130:K130"/>
    <mergeCell ref="H106:M106"/>
    <mergeCell ref="H127:L127"/>
    <mergeCell ref="H196:M196"/>
    <mergeCell ref="H200:L200"/>
    <mergeCell ref="O553:S553"/>
    <mergeCell ref="O554:R554"/>
    <mergeCell ref="AC514:AH514"/>
    <mergeCell ref="AD515:AG515"/>
    <mergeCell ref="AD516:AG516"/>
    <mergeCell ref="AC517:AH517"/>
    <mergeCell ref="AC529:AG529"/>
    <mergeCell ref="AC530:AH530"/>
    <mergeCell ref="AC534:AG534"/>
    <mergeCell ref="AC535:AH535"/>
    <mergeCell ref="AC538:AG538"/>
    <mergeCell ref="A559:E559"/>
    <mergeCell ref="A560:F560"/>
    <mergeCell ref="H514:M514"/>
    <mergeCell ref="I515:L515"/>
    <mergeCell ref="I516:L516"/>
    <mergeCell ref="H517:M517"/>
    <mergeCell ref="H529:L529"/>
    <mergeCell ref="H530:M530"/>
    <mergeCell ref="H534:L534"/>
    <mergeCell ref="H535:M535"/>
    <mergeCell ref="H538:L538"/>
    <mergeCell ref="H539:M539"/>
    <mergeCell ref="H543:L543"/>
    <mergeCell ref="H544:M544"/>
    <mergeCell ref="H549:L549"/>
    <mergeCell ref="H551:L551"/>
    <mergeCell ref="H552:K552"/>
    <mergeCell ref="H553:L553"/>
    <mergeCell ref="H554:K554"/>
    <mergeCell ref="H555:L555"/>
    <mergeCell ref="H556:K556"/>
    <mergeCell ref="O555:S555"/>
    <mergeCell ref="O556:R556"/>
    <mergeCell ref="O557:S557"/>
    <mergeCell ref="O558:R558"/>
    <mergeCell ref="O559:S559"/>
    <mergeCell ref="O560:T560"/>
    <mergeCell ref="V514:AA514"/>
    <mergeCell ref="W515:Z515"/>
    <mergeCell ref="W516:Z516"/>
    <mergeCell ref="V517:AA517"/>
    <mergeCell ref="V529:Z529"/>
    <mergeCell ref="V530:AA530"/>
    <mergeCell ref="V534:Z534"/>
    <mergeCell ref="V535:AA535"/>
    <mergeCell ref="V538:Z538"/>
    <mergeCell ref="V539:AA539"/>
    <mergeCell ref="V543:Z543"/>
    <mergeCell ref="V544:AA544"/>
    <mergeCell ref="V549:Z549"/>
    <mergeCell ref="V551:Z551"/>
    <mergeCell ref="V552:Y552"/>
    <mergeCell ref="V553:Z553"/>
    <mergeCell ref="V554:Y554"/>
    <mergeCell ref="O534:S534"/>
    <mergeCell ref="O535:T535"/>
    <mergeCell ref="O538:S538"/>
    <mergeCell ref="O539:T539"/>
    <mergeCell ref="O543:S543"/>
    <mergeCell ref="O544:T544"/>
    <mergeCell ref="O549:S549"/>
    <mergeCell ref="O551:S551"/>
    <mergeCell ref="O552:R552"/>
    <mergeCell ref="AC557:AG557"/>
    <mergeCell ref="AC558:AF558"/>
    <mergeCell ref="AC559:AG559"/>
    <mergeCell ref="AC560:AH560"/>
    <mergeCell ref="V556:Y556"/>
    <mergeCell ref="V557:Z557"/>
    <mergeCell ref="V558:Y558"/>
    <mergeCell ref="V559:Z559"/>
    <mergeCell ref="V560:AA560"/>
    <mergeCell ref="AC556:AF556"/>
    <mergeCell ref="AC539:AH539"/>
    <mergeCell ref="AC543:AG543"/>
    <mergeCell ref="AC544:AH544"/>
    <mergeCell ref="AC549:AG549"/>
    <mergeCell ref="AC551:AG551"/>
    <mergeCell ref="AC552:AF552"/>
    <mergeCell ref="AC553:AG553"/>
    <mergeCell ref="AC554:AF554"/>
    <mergeCell ref="AC555:AG555"/>
    <mergeCell ref="V555:Z555"/>
    <mergeCell ref="O374:T374"/>
    <mergeCell ref="P375:S375"/>
    <mergeCell ref="P376:S376"/>
    <mergeCell ref="O377:T377"/>
    <mergeCell ref="O386:S386"/>
    <mergeCell ref="O387:T387"/>
    <mergeCell ref="O391:S391"/>
    <mergeCell ref="O392:T392"/>
    <mergeCell ref="O395:S395"/>
    <mergeCell ref="O396:T396"/>
    <mergeCell ref="O400:S400"/>
    <mergeCell ref="O401:T401"/>
    <mergeCell ref="O407:S407"/>
    <mergeCell ref="O409:S409"/>
    <mergeCell ref="O410:R410"/>
    <mergeCell ref="O411:S411"/>
    <mergeCell ref="O412:R412"/>
    <mergeCell ref="AC420:AH420"/>
    <mergeCell ref="AD421:AG421"/>
    <mergeCell ref="AD422:AG422"/>
    <mergeCell ref="AC423:AH423"/>
    <mergeCell ref="AC432:AG432"/>
    <mergeCell ref="AC433:AH433"/>
    <mergeCell ref="AC437:AG437"/>
    <mergeCell ref="AC438:AH438"/>
    <mergeCell ref="AC441:AG441"/>
    <mergeCell ref="AC442:AH442"/>
    <mergeCell ref="AC446:AG446"/>
    <mergeCell ref="O413:S413"/>
    <mergeCell ref="O414:R414"/>
    <mergeCell ref="O415:S415"/>
    <mergeCell ref="O416:R416"/>
    <mergeCell ref="O417:S417"/>
    <mergeCell ref="O418:T418"/>
    <mergeCell ref="AC447:AH447"/>
    <mergeCell ref="AC455:AG455"/>
    <mergeCell ref="AC457:AG457"/>
    <mergeCell ref="AC458:AF458"/>
    <mergeCell ref="AC459:AG459"/>
    <mergeCell ref="AC460:AF460"/>
    <mergeCell ref="AC461:AG461"/>
    <mergeCell ref="AC462:AF462"/>
    <mergeCell ref="AC463:AG463"/>
    <mergeCell ref="AC464:AF464"/>
    <mergeCell ref="AC465:AG465"/>
    <mergeCell ref="AC466:AH466"/>
    <mergeCell ref="AJ420:AO420"/>
    <mergeCell ref="AK421:AN421"/>
    <mergeCell ref="AK422:AN422"/>
    <mergeCell ref="AJ423:AO423"/>
    <mergeCell ref="AJ432:AN432"/>
    <mergeCell ref="AJ433:AO433"/>
    <mergeCell ref="AJ437:AN437"/>
    <mergeCell ref="AJ438:AO438"/>
    <mergeCell ref="AJ441:AN441"/>
    <mergeCell ref="AJ442:AO442"/>
    <mergeCell ref="AJ446:AN446"/>
    <mergeCell ref="AJ447:AO447"/>
    <mergeCell ref="AJ455:AN455"/>
    <mergeCell ref="AJ457:AN457"/>
    <mergeCell ref="AJ458:AM458"/>
    <mergeCell ref="AJ459:AN459"/>
    <mergeCell ref="AJ460:AM460"/>
    <mergeCell ref="AJ461:AN461"/>
    <mergeCell ref="AJ462:AM462"/>
    <mergeCell ref="AJ463:AN463"/>
    <mergeCell ref="AJ465:AN465"/>
    <mergeCell ref="AJ466:AO466"/>
    <mergeCell ref="AQ461:AU461"/>
    <mergeCell ref="AQ462:AT462"/>
    <mergeCell ref="AQ463:AU463"/>
    <mergeCell ref="AQ464:AT464"/>
    <mergeCell ref="AQ465:AU465"/>
    <mergeCell ref="AQ466:AV466"/>
    <mergeCell ref="AX461:BB461"/>
    <mergeCell ref="AX462:BA462"/>
    <mergeCell ref="AX463:BB463"/>
    <mergeCell ref="AX464:BA464"/>
    <mergeCell ref="AX465:BB465"/>
    <mergeCell ref="AX466:BC466"/>
    <mergeCell ref="AQ420:AV420"/>
    <mergeCell ref="AR421:AU421"/>
    <mergeCell ref="AR422:AU422"/>
    <mergeCell ref="AQ423:AV423"/>
    <mergeCell ref="AQ432:AU432"/>
    <mergeCell ref="AQ433:AV433"/>
    <mergeCell ref="AQ437:AU437"/>
    <mergeCell ref="AQ438:AV438"/>
    <mergeCell ref="AQ441:AU441"/>
    <mergeCell ref="AQ442:AV442"/>
    <mergeCell ref="AQ446:AU446"/>
    <mergeCell ref="AQ447:AV447"/>
    <mergeCell ref="AQ455:AU455"/>
    <mergeCell ref="AQ457:AU457"/>
    <mergeCell ref="AQ458:AT458"/>
    <mergeCell ref="AQ459:AU459"/>
    <mergeCell ref="AQ460:AT460"/>
    <mergeCell ref="BE459:BI459"/>
    <mergeCell ref="BE460:BH460"/>
    <mergeCell ref="AX423:BC423"/>
    <mergeCell ref="AX432:BB432"/>
    <mergeCell ref="AX433:BC433"/>
    <mergeCell ref="AX437:BB437"/>
    <mergeCell ref="AX438:BC438"/>
    <mergeCell ref="AX441:BB441"/>
    <mergeCell ref="AX442:BC442"/>
    <mergeCell ref="AX446:BB446"/>
    <mergeCell ref="AX447:BC447"/>
    <mergeCell ref="AX455:BB455"/>
    <mergeCell ref="AX457:BB457"/>
    <mergeCell ref="AX458:BA458"/>
    <mergeCell ref="AX459:BB459"/>
    <mergeCell ref="AX460:BA460"/>
    <mergeCell ref="AJ464:AM464"/>
    <mergeCell ref="BE461:BI461"/>
    <mergeCell ref="BE462:BH462"/>
    <mergeCell ref="BE463:BI463"/>
    <mergeCell ref="BE464:BH464"/>
    <mergeCell ref="BE465:BI465"/>
    <mergeCell ref="BE466:BJ466"/>
    <mergeCell ref="AX420:BC420"/>
    <mergeCell ref="AY421:BB421"/>
    <mergeCell ref="AY422:BB422"/>
    <mergeCell ref="AQ562:AV562"/>
    <mergeCell ref="AR563:AU563"/>
    <mergeCell ref="AR564:AU564"/>
    <mergeCell ref="AQ565:AV565"/>
    <mergeCell ref="AQ574:AU574"/>
    <mergeCell ref="AQ575:AV575"/>
    <mergeCell ref="AQ579:AU579"/>
    <mergeCell ref="AQ580:AV580"/>
    <mergeCell ref="BE420:BJ420"/>
    <mergeCell ref="BF421:BI421"/>
    <mergeCell ref="BF422:BI422"/>
    <mergeCell ref="BE423:BJ423"/>
    <mergeCell ref="BE432:BI432"/>
    <mergeCell ref="BE433:BJ433"/>
    <mergeCell ref="BE437:BI437"/>
    <mergeCell ref="BE438:BJ438"/>
    <mergeCell ref="BE441:BI441"/>
    <mergeCell ref="BE442:BJ442"/>
    <mergeCell ref="BE446:BI446"/>
    <mergeCell ref="BE447:BJ447"/>
    <mergeCell ref="BE455:BI455"/>
    <mergeCell ref="BE457:BI457"/>
    <mergeCell ref="BE458:BH458"/>
    <mergeCell ref="AX507:BB507"/>
    <mergeCell ref="AX508:BA508"/>
    <mergeCell ref="AX509:BB509"/>
    <mergeCell ref="AX510:BA510"/>
    <mergeCell ref="AQ583:AU583"/>
    <mergeCell ref="AQ584:AV584"/>
    <mergeCell ref="AQ588:AU588"/>
    <mergeCell ref="AQ589:AV589"/>
    <mergeCell ref="AQ594:AU594"/>
    <mergeCell ref="AQ596:AU596"/>
    <mergeCell ref="AQ597:AT597"/>
    <mergeCell ref="AQ598:AU598"/>
    <mergeCell ref="AQ599:AT599"/>
    <mergeCell ref="A634:F634"/>
    <mergeCell ref="A639:E639"/>
    <mergeCell ref="A641:E641"/>
    <mergeCell ref="A642:D642"/>
    <mergeCell ref="A643:E643"/>
    <mergeCell ref="A644:D644"/>
    <mergeCell ref="A645:E645"/>
    <mergeCell ref="A646:D646"/>
    <mergeCell ref="A603:D603"/>
    <mergeCell ref="A604:E604"/>
    <mergeCell ref="A605:F605"/>
    <mergeCell ref="H605:M605"/>
    <mergeCell ref="O601:R601"/>
    <mergeCell ref="O602:S602"/>
    <mergeCell ref="O603:R603"/>
    <mergeCell ref="O604:S604"/>
    <mergeCell ref="O605:T605"/>
    <mergeCell ref="V600:Z600"/>
    <mergeCell ref="V601:Y601"/>
    <mergeCell ref="V602:Z602"/>
    <mergeCell ref="V603:Y603"/>
    <mergeCell ref="V604:Z604"/>
    <mergeCell ref="V605:AA605"/>
    <mergeCell ref="A647:E647"/>
    <mergeCell ref="A648:D648"/>
    <mergeCell ref="A649:E649"/>
    <mergeCell ref="A650:F650"/>
    <mergeCell ref="AQ600:AU600"/>
    <mergeCell ref="AQ601:AT601"/>
    <mergeCell ref="AQ602:AU602"/>
    <mergeCell ref="AQ603:AT603"/>
    <mergeCell ref="AQ604:AU604"/>
    <mergeCell ref="AQ605:AV605"/>
    <mergeCell ref="A607:F607"/>
    <mergeCell ref="B608:E608"/>
    <mergeCell ref="B609:E609"/>
    <mergeCell ref="A610:F610"/>
    <mergeCell ref="A619:E619"/>
    <mergeCell ref="A620:F620"/>
    <mergeCell ref="A624:E624"/>
    <mergeCell ref="A625:F625"/>
    <mergeCell ref="A628:E628"/>
    <mergeCell ref="A629:F629"/>
    <mergeCell ref="A633:E633"/>
    <mergeCell ref="A600:E600"/>
    <mergeCell ref="A601:D601"/>
    <mergeCell ref="A602:E602"/>
    <mergeCell ref="H607:M607"/>
    <mergeCell ref="I608:L608"/>
    <mergeCell ref="I609:L609"/>
    <mergeCell ref="H610:M610"/>
    <mergeCell ref="H619:L619"/>
    <mergeCell ref="H620:M620"/>
    <mergeCell ref="H624:L624"/>
    <mergeCell ref="H625:M625"/>
    <mergeCell ref="H508:K508"/>
    <mergeCell ref="H509:L509"/>
    <mergeCell ref="H510:K510"/>
    <mergeCell ref="H511:L511"/>
    <mergeCell ref="H512:M512"/>
    <mergeCell ref="O469:T469"/>
    <mergeCell ref="P470:S470"/>
    <mergeCell ref="P471:S471"/>
    <mergeCell ref="O472:T472"/>
    <mergeCell ref="O481:S481"/>
    <mergeCell ref="O482:T482"/>
    <mergeCell ref="O486:S486"/>
    <mergeCell ref="O487:T487"/>
    <mergeCell ref="O490:S490"/>
    <mergeCell ref="O491:T491"/>
    <mergeCell ref="O495:S495"/>
    <mergeCell ref="O496:T496"/>
    <mergeCell ref="O501:S501"/>
    <mergeCell ref="O503:S503"/>
    <mergeCell ref="O504:R504"/>
    <mergeCell ref="O505:S505"/>
    <mergeCell ref="O506:R506"/>
    <mergeCell ref="O507:S507"/>
    <mergeCell ref="O508:R508"/>
    <mergeCell ref="O509:S509"/>
    <mergeCell ref="O510:R510"/>
    <mergeCell ref="O511:S511"/>
    <mergeCell ref="O512:T512"/>
    <mergeCell ref="V512:AA512"/>
    <mergeCell ref="AJ469:AO469"/>
    <mergeCell ref="AK470:AN470"/>
    <mergeCell ref="AK471:AN471"/>
    <mergeCell ref="AJ472:AO472"/>
    <mergeCell ref="AJ481:AN481"/>
    <mergeCell ref="AJ482:AO482"/>
    <mergeCell ref="AJ486:AN486"/>
    <mergeCell ref="AJ487:AO487"/>
    <mergeCell ref="AJ490:AN490"/>
    <mergeCell ref="AJ491:AO491"/>
    <mergeCell ref="AJ495:AN495"/>
    <mergeCell ref="AJ496:AO496"/>
    <mergeCell ref="AJ501:AN501"/>
    <mergeCell ref="AJ503:AN503"/>
    <mergeCell ref="AJ504:AM504"/>
    <mergeCell ref="AJ505:AN505"/>
    <mergeCell ref="AJ506:AM506"/>
    <mergeCell ref="AC469:AH469"/>
    <mergeCell ref="AD470:AG470"/>
    <mergeCell ref="AD471:AG471"/>
    <mergeCell ref="AC472:AH472"/>
    <mergeCell ref="AC481:AG481"/>
    <mergeCell ref="AC482:AH482"/>
    <mergeCell ref="AC486:AG486"/>
    <mergeCell ref="AC487:AH487"/>
    <mergeCell ref="AC490:AG490"/>
    <mergeCell ref="W471:Z471"/>
    <mergeCell ref="V472:AA472"/>
    <mergeCell ref="V481:Z481"/>
    <mergeCell ref="V482:AA482"/>
    <mergeCell ref="V486:Z486"/>
    <mergeCell ref="BS487:BX487"/>
    <mergeCell ref="BS490:BW490"/>
    <mergeCell ref="BS491:BX491"/>
    <mergeCell ref="BS495:BW495"/>
    <mergeCell ref="BS496:BX496"/>
    <mergeCell ref="BS501:BW501"/>
    <mergeCell ref="BS503:BW503"/>
    <mergeCell ref="BS504:BV504"/>
    <mergeCell ref="BS505:BW505"/>
    <mergeCell ref="BS506:BV506"/>
    <mergeCell ref="BT471:BW471"/>
    <mergeCell ref="BS472:BX472"/>
    <mergeCell ref="BS481:BW481"/>
    <mergeCell ref="BS482:BX482"/>
    <mergeCell ref="BS486:BW486"/>
    <mergeCell ref="V504:Y504"/>
    <mergeCell ref="V505:Z505"/>
    <mergeCell ref="V506:Y506"/>
    <mergeCell ref="AC504:AF504"/>
    <mergeCell ref="AC505:AG505"/>
    <mergeCell ref="AC506:AF506"/>
    <mergeCell ref="V487:AA487"/>
    <mergeCell ref="V490:Z490"/>
    <mergeCell ref="V491:AA491"/>
    <mergeCell ref="V495:Z495"/>
    <mergeCell ref="V496:AA496"/>
    <mergeCell ref="V501:Z501"/>
    <mergeCell ref="V503:Z503"/>
    <mergeCell ref="AX469:BC469"/>
    <mergeCell ref="AY470:BB470"/>
    <mergeCell ref="AY471:BB471"/>
    <mergeCell ref="AX472:BC472"/>
    <mergeCell ref="AX481:BB481"/>
    <mergeCell ref="AX482:BC482"/>
    <mergeCell ref="AX486:BB486"/>
    <mergeCell ref="AX487:BC487"/>
    <mergeCell ref="AX490:BB490"/>
    <mergeCell ref="AX491:BC491"/>
    <mergeCell ref="AX495:BB495"/>
    <mergeCell ref="AX496:BC496"/>
    <mergeCell ref="AX501:BB501"/>
    <mergeCell ref="AX503:BB503"/>
    <mergeCell ref="AX504:BA504"/>
    <mergeCell ref="AX505:BB505"/>
    <mergeCell ref="AX506:BA506"/>
    <mergeCell ref="BL469:BQ469"/>
    <mergeCell ref="BM470:BP470"/>
    <mergeCell ref="BM471:BP471"/>
    <mergeCell ref="BL472:BQ472"/>
    <mergeCell ref="BL481:BP481"/>
    <mergeCell ref="BS511:BW511"/>
    <mergeCell ref="BS512:BX512"/>
    <mergeCell ref="AQ469:AV469"/>
    <mergeCell ref="AR470:AU470"/>
    <mergeCell ref="AR471:AU471"/>
    <mergeCell ref="AQ472:AV472"/>
    <mergeCell ref="AQ481:AU481"/>
    <mergeCell ref="AQ482:AV482"/>
    <mergeCell ref="AQ486:AU486"/>
    <mergeCell ref="AQ487:AV487"/>
    <mergeCell ref="AQ490:AU490"/>
    <mergeCell ref="AQ491:AV491"/>
    <mergeCell ref="AQ495:AU495"/>
    <mergeCell ref="AQ496:AV496"/>
    <mergeCell ref="AQ501:AU501"/>
    <mergeCell ref="AQ503:AU503"/>
    <mergeCell ref="AQ504:AT504"/>
    <mergeCell ref="AQ505:AU505"/>
    <mergeCell ref="AQ506:AT506"/>
    <mergeCell ref="AQ507:AU507"/>
    <mergeCell ref="AQ508:AT508"/>
    <mergeCell ref="AQ509:AU509"/>
    <mergeCell ref="AQ510:AT510"/>
    <mergeCell ref="AQ511:AU511"/>
    <mergeCell ref="AQ512:AV512"/>
    <mergeCell ref="BS469:BX469"/>
    <mergeCell ref="BT470:BW470"/>
    <mergeCell ref="A693:D693"/>
    <mergeCell ref="A694:E694"/>
    <mergeCell ref="A695:F695"/>
    <mergeCell ref="H652:M652"/>
    <mergeCell ref="I653:L653"/>
    <mergeCell ref="I654:L654"/>
    <mergeCell ref="H655:M655"/>
    <mergeCell ref="H664:L664"/>
    <mergeCell ref="H665:M665"/>
    <mergeCell ref="H669:L669"/>
    <mergeCell ref="H670:M670"/>
    <mergeCell ref="H673:L673"/>
    <mergeCell ref="H674:M674"/>
    <mergeCell ref="H678:L678"/>
    <mergeCell ref="H679:M679"/>
    <mergeCell ref="H684:L684"/>
    <mergeCell ref="H686:L686"/>
    <mergeCell ref="H687:K687"/>
    <mergeCell ref="H688:L688"/>
    <mergeCell ref="H689:K689"/>
    <mergeCell ref="H690:L690"/>
    <mergeCell ref="H691:K691"/>
    <mergeCell ref="H692:L692"/>
    <mergeCell ref="H693:K693"/>
    <mergeCell ref="H694:L694"/>
    <mergeCell ref="H695:M695"/>
    <mergeCell ref="A652:F652"/>
    <mergeCell ref="B653:E653"/>
    <mergeCell ref="B654:E654"/>
    <mergeCell ref="A655:F655"/>
    <mergeCell ref="A664:E664"/>
    <mergeCell ref="A665:F665"/>
    <mergeCell ref="A690:E690"/>
    <mergeCell ref="A691:D691"/>
    <mergeCell ref="A692:E692"/>
    <mergeCell ref="A669:E669"/>
    <mergeCell ref="A670:F670"/>
    <mergeCell ref="A673:E673"/>
    <mergeCell ref="A674:F674"/>
    <mergeCell ref="A678:E678"/>
    <mergeCell ref="A679:F679"/>
    <mergeCell ref="A684:E684"/>
    <mergeCell ref="A686:E686"/>
    <mergeCell ref="A687:D687"/>
    <mergeCell ref="A688:E688"/>
    <mergeCell ref="A689:D689"/>
    <mergeCell ref="BS507:BW507"/>
    <mergeCell ref="BS508:BV508"/>
    <mergeCell ref="BS509:BW509"/>
    <mergeCell ref="BS510:BV510"/>
    <mergeCell ref="AJ507:AN507"/>
    <mergeCell ref="AJ508:AM508"/>
    <mergeCell ref="AJ509:AN509"/>
    <mergeCell ref="AJ510:AM510"/>
    <mergeCell ref="AJ511:AN511"/>
    <mergeCell ref="AJ512:AO512"/>
    <mergeCell ref="V507:Z507"/>
    <mergeCell ref="V508:Y508"/>
    <mergeCell ref="AC507:AG507"/>
    <mergeCell ref="AX511:BB511"/>
    <mergeCell ref="AX512:BC512"/>
    <mergeCell ref="V509:Z509"/>
    <mergeCell ref="V510:Y510"/>
    <mergeCell ref="V511:Z511"/>
    <mergeCell ref="BZ443:CE443"/>
    <mergeCell ref="BZ448:CD448"/>
    <mergeCell ref="BZ449:CE449"/>
    <mergeCell ref="BZ456:CD456"/>
    <mergeCell ref="BZ458:CD458"/>
    <mergeCell ref="BZ459:CC459"/>
    <mergeCell ref="BZ460:CD460"/>
    <mergeCell ref="BZ461:CC461"/>
    <mergeCell ref="BZ462:CD462"/>
    <mergeCell ref="BZ463:CC463"/>
    <mergeCell ref="BZ464:CD464"/>
    <mergeCell ref="BZ465:CC465"/>
    <mergeCell ref="BZ466:CD466"/>
    <mergeCell ref="BZ467:CE467"/>
    <mergeCell ref="BS420:BX420"/>
    <mergeCell ref="BT421:BW421"/>
    <mergeCell ref="BT422:BW422"/>
    <mergeCell ref="BS423:BX423"/>
    <mergeCell ref="BS432:BW432"/>
    <mergeCell ref="BS433:BX433"/>
    <mergeCell ref="BS438:BW438"/>
    <mergeCell ref="BS439:BX439"/>
    <mergeCell ref="BS442:BW442"/>
    <mergeCell ref="BS443:BX443"/>
    <mergeCell ref="BS448:BW448"/>
    <mergeCell ref="BS449:BX449"/>
    <mergeCell ref="BS456:BW456"/>
    <mergeCell ref="BS458:BW458"/>
    <mergeCell ref="BS459:BV459"/>
    <mergeCell ref="BS460:BW460"/>
    <mergeCell ref="BS461:BV461"/>
    <mergeCell ref="BZ510:CC510"/>
    <mergeCell ref="BZ511:CD511"/>
    <mergeCell ref="BZ512:CE512"/>
    <mergeCell ref="BZ469:CE469"/>
    <mergeCell ref="CA470:CD470"/>
    <mergeCell ref="CA471:CD471"/>
    <mergeCell ref="BZ472:CE472"/>
    <mergeCell ref="BZ481:CD481"/>
    <mergeCell ref="BZ482:CE482"/>
    <mergeCell ref="BZ486:CD486"/>
    <mergeCell ref="BZ487:CE487"/>
    <mergeCell ref="BZ490:CD490"/>
    <mergeCell ref="BZ491:CE491"/>
    <mergeCell ref="BZ495:CD495"/>
    <mergeCell ref="BZ496:CE496"/>
    <mergeCell ref="BZ501:CD501"/>
    <mergeCell ref="BZ503:CD503"/>
    <mergeCell ref="BZ504:CC504"/>
    <mergeCell ref="BZ505:CD505"/>
    <mergeCell ref="BZ506:CC506"/>
    <mergeCell ref="AJ186:AO186"/>
    <mergeCell ref="AJ195:AN195"/>
    <mergeCell ref="AJ196:AO196"/>
    <mergeCell ref="AJ200:AN200"/>
    <mergeCell ref="AJ201:AO201"/>
    <mergeCell ref="AJ204:AN204"/>
    <mergeCell ref="AJ205:AO205"/>
    <mergeCell ref="AJ209:AN209"/>
    <mergeCell ref="AJ210:AO210"/>
    <mergeCell ref="AJ215:AN215"/>
    <mergeCell ref="AJ217:AN217"/>
    <mergeCell ref="AJ218:AM218"/>
    <mergeCell ref="AJ219:AN219"/>
    <mergeCell ref="AJ220:AM220"/>
    <mergeCell ref="BZ507:CD507"/>
    <mergeCell ref="BZ508:CC508"/>
    <mergeCell ref="BZ509:CD509"/>
    <mergeCell ref="BS462:BW462"/>
    <mergeCell ref="BS463:BV463"/>
    <mergeCell ref="BS464:BW464"/>
    <mergeCell ref="BS465:BV465"/>
    <mergeCell ref="BS466:BW466"/>
    <mergeCell ref="BS467:BX467"/>
    <mergeCell ref="BZ420:CE420"/>
    <mergeCell ref="CA421:CD421"/>
    <mergeCell ref="CA422:CD422"/>
    <mergeCell ref="BZ423:CE423"/>
    <mergeCell ref="BZ432:CD432"/>
    <mergeCell ref="BZ433:CE433"/>
    <mergeCell ref="BZ438:CD438"/>
    <mergeCell ref="BZ439:CE439"/>
    <mergeCell ref="BZ442:CD442"/>
    <mergeCell ref="AJ221:AN221"/>
    <mergeCell ref="AJ222:AM222"/>
    <mergeCell ref="AJ223:AN223"/>
    <mergeCell ref="AJ224:AM224"/>
    <mergeCell ref="AJ225:AN225"/>
    <mergeCell ref="AJ226:AO226"/>
    <mergeCell ref="AJ1:AO1"/>
    <mergeCell ref="AK2:AN2"/>
    <mergeCell ref="AK3:AN3"/>
    <mergeCell ref="AJ4:AO4"/>
    <mergeCell ref="AJ13:AN13"/>
    <mergeCell ref="AJ14:AO14"/>
    <mergeCell ref="AJ19:AN19"/>
    <mergeCell ref="AJ20:AO20"/>
    <mergeCell ref="AJ23:AN23"/>
    <mergeCell ref="AJ24:AO24"/>
    <mergeCell ref="AJ29:AN29"/>
    <mergeCell ref="AJ30:AO30"/>
    <mergeCell ref="AJ34:AN34"/>
    <mergeCell ref="AJ36:AN36"/>
    <mergeCell ref="AJ37:AN37"/>
    <mergeCell ref="AJ38:AN38"/>
    <mergeCell ref="AJ39:AN39"/>
    <mergeCell ref="AJ40:AN40"/>
    <mergeCell ref="AJ41:AN41"/>
    <mergeCell ref="AJ42:AN42"/>
    <mergeCell ref="AJ43:AN43"/>
    <mergeCell ref="AJ44:AN44"/>
    <mergeCell ref="AJ45:AN45"/>
    <mergeCell ref="AJ183:AO183"/>
    <mergeCell ref="AK184:AN184"/>
    <mergeCell ref="AK185:AN185"/>
  </mergeCells>
  <conditionalFormatting sqref="F6:F7 L6:M12 S6:T12 E8:F12 F13 M13 T13 F16:F17 M16:M17 E18:F18 L18:M18 F19 M19 T16:T19 E22:F22 L22:M22 S22:T22 F23 M23 T23 E26:F28 L26:M28 T26 F29 M29 F32:F35 M32:M35 T32:T35 F37:F45 M37:M45 T37:T45 F53 M53:M54 E54:F59 L55:M59 F60 M60 F63 M63:M65 E64:F64 F65 E68:F68 L68:M68 F69 M69 E72:F73 L72:M73 F74 M74 F77:F80 M77:M78 L79:M79 M80 F82:F90 M82:M90 Z6:AA12 AA16 Z17:AA17 Z21:AA21 Z25:AA26 AA30:AA32 Z33:AA33 AA36:AA44 T28:T29 AA13 AH32:AH34 F213:F215 F208 E235:F241 E234 F233:F234 F405:F407 CE456 CE451:CE454 F456 F451:F454 AA456 AA451:AA454">
    <cfRule type="cellIs" dxfId="184" priority="204" stopIfTrue="1" operator="lessThan">
      <formula>0</formula>
    </cfRule>
  </conditionalFormatting>
  <conditionalFormatting sqref="T27">
    <cfRule type="cellIs" dxfId="183" priority="203" stopIfTrue="1" operator="lessThan">
      <formula>0</formula>
    </cfRule>
  </conditionalFormatting>
  <conditionalFormatting sqref="AA18">
    <cfRule type="cellIs" dxfId="182" priority="202" stopIfTrue="1" operator="lessThan">
      <formula>0</formula>
    </cfRule>
  </conditionalFormatting>
  <conditionalFormatting sqref="AA22">
    <cfRule type="cellIs" dxfId="181" priority="201" stopIfTrue="1" operator="lessThan">
      <formula>0</formula>
    </cfRule>
  </conditionalFormatting>
  <conditionalFormatting sqref="AA27">
    <cfRule type="cellIs" dxfId="180" priority="200" stopIfTrue="1" operator="lessThan">
      <formula>0</formula>
    </cfRule>
  </conditionalFormatting>
  <conditionalFormatting sqref="AA34">
    <cfRule type="cellIs" dxfId="179" priority="199" stopIfTrue="1" operator="lessThan">
      <formula>0</formula>
    </cfRule>
  </conditionalFormatting>
  <conditionalFormatting sqref="AG6:AH12 AH13 AH16:AH19 AG22:AH22 AH23 AH26 AH36:AH44 AH28:AH29">
    <cfRule type="cellIs" dxfId="178" priority="198" stopIfTrue="1" operator="lessThan">
      <formula>0</formula>
    </cfRule>
  </conditionalFormatting>
  <conditionalFormatting sqref="AH27">
    <cfRule type="cellIs" dxfId="177" priority="197" stopIfTrue="1" operator="lessThan">
      <formula>0</formula>
    </cfRule>
  </conditionalFormatting>
  <conditionalFormatting sqref="F98 E99:F104 F105 F108 E109:F109 F110 E113:F113 F114 E117:F118 F119 F122:F125 F127:F135">
    <cfRule type="cellIs" dxfId="176" priority="194" stopIfTrue="1" operator="lessThan">
      <formula>0</formula>
    </cfRule>
  </conditionalFormatting>
  <conditionalFormatting sqref="F143 E144:F149 F150 F153 E154:F154 F155 E158:F158 F159 E162:F163 F164 F167:F170 F172:F180">
    <cfRule type="cellIs" dxfId="175" priority="193" stopIfTrue="1" operator="lessThan">
      <formula>0</formula>
    </cfRule>
  </conditionalFormatting>
  <conditionalFormatting sqref="F188 E189:F194 F195 F198 E199:F199 F200 E203:F203 F204 E207:F207 F209 F217:F225">
    <cfRule type="cellIs" dxfId="174" priority="192" stopIfTrue="1" operator="lessThan">
      <formula>0</formula>
    </cfRule>
  </conditionalFormatting>
  <conditionalFormatting sqref="M188 L189:M194 M195 M198 L199:M199 M200 L203:M203 M204 L207:M208 M209 M212:M215 M217:M225">
    <cfRule type="cellIs" dxfId="173" priority="191" stopIfTrue="1" operator="lessThan">
      <formula>0</formula>
    </cfRule>
  </conditionalFormatting>
  <conditionalFormatting sqref="T53:T54 S55:T59 T60 T63:T65 S68:T68 T69 S72:T73 T74 T77:T78 S79:T79 T80 T82:T90">
    <cfRule type="cellIs" dxfId="172" priority="190" stopIfTrue="1" operator="lessThan">
      <formula>0</formula>
    </cfRule>
  </conditionalFormatting>
  <conditionalFormatting sqref="F260:F262 F255">
    <cfRule type="cellIs" dxfId="171" priority="189" stopIfTrue="1" operator="lessThan">
      <formula>0</formula>
    </cfRule>
  </conditionalFormatting>
  <conditionalFormatting sqref="F242 F245 E246:F246 F247 E250:F250 F251 E254:F254 F256 F264:F272">
    <cfRule type="cellIs" dxfId="170" priority="188" stopIfTrue="1" operator="lessThan">
      <formula>0</formula>
    </cfRule>
  </conditionalFormatting>
  <conditionalFormatting sqref="F259">
    <cfRule type="cellIs" dxfId="169" priority="187" stopIfTrue="1" operator="lessThan">
      <formula>0</formula>
    </cfRule>
  </conditionalFormatting>
  <conditionalFormatting sqref="F280 E281:F286 F287 F290 E291:F291 F292 E295:F295 F296 E299:F300 F301 F304:F307 F309:F317">
    <cfRule type="cellIs" dxfId="168" priority="186" stopIfTrue="1" operator="lessThan">
      <formula>0</formula>
    </cfRule>
  </conditionalFormatting>
  <conditionalFormatting sqref="L235:M241 L234 M233:M234">
    <cfRule type="cellIs" dxfId="167" priority="185" stopIfTrue="1" operator="lessThan">
      <formula>0</formula>
    </cfRule>
  </conditionalFormatting>
  <conditionalFormatting sqref="M260:M262 M255">
    <cfRule type="cellIs" dxfId="166" priority="184" stopIfTrue="1" operator="lessThan">
      <formula>0</formula>
    </cfRule>
  </conditionalFormatting>
  <conditionalFormatting sqref="M242 M245 L246:M246 M247 L250:M250 M251 L254:M254 M256 M264:M272">
    <cfRule type="cellIs" dxfId="165" priority="183" stopIfTrue="1" operator="lessThan">
      <formula>0</formula>
    </cfRule>
  </conditionalFormatting>
  <conditionalFormatting sqref="M259">
    <cfRule type="cellIs" dxfId="164" priority="182" stopIfTrue="1" operator="lessThan">
      <formula>0</formula>
    </cfRule>
  </conditionalFormatting>
  <conditionalFormatting sqref="M280 L281:M286 M287 M290 L291:M291 M292 L295:M295 M296 L299:M300 M301 M304:M307 M309:M317">
    <cfRule type="cellIs" dxfId="163" priority="181" stopIfTrue="1" operator="lessThan">
      <formula>0</formula>
    </cfRule>
  </conditionalFormatting>
  <conditionalFormatting sqref="AA53:AA54 Z55:AA59 AA60 AA63:AA65 Z68:AA68 AA69 Z72:AA73 AA74 AA77:AA78 Z79:AA79 AA80 AA82:AA90">
    <cfRule type="cellIs" dxfId="162" priority="180" stopIfTrue="1" operator="lessThan">
      <formula>0</formula>
    </cfRule>
  </conditionalFormatting>
  <conditionalFormatting sqref="T188 S189:T194 T195 T198 S199:T199 T200 S203:T203 T204 S207:T208 T209 T212:T215 T217:T225">
    <cfRule type="cellIs" dxfId="161" priority="179" stopIfTrue="1" operator="lessThan">
      <formula>0</formula>
    </cfRule>
  </conditionalFormatting>
  <conditionalFormatting sqref="AA188 Z189:AA194 AA195 AA198 Z199:AA199 AA200 Z203:AA203 AA204 Z207:AA208 AA209 AA212:AA215 AA217:AA225">
    <cfRule type="cellIs" dxfId="160" priority="178" stopIfTrue="1" operator="lessThan">
      <formula>0</formula>
    </cfRule>
  </conditionalFormatting>
  <conditionalFormatting sqref="AH188 AG189:AH194 AH195 AH198 AG199:AH199 AH200 AG203:AH203 AH204 AG207:AH208 AH209 AH212:AH215 AH217:AH225">
    <cfRule type="cellIs" dxfId="159" priority="177" stopIfTrue="1" operator="lessThan">
      <formula>0</formula>
    </cfRule>
  </conditionalFormatting>
  <conditionalFormatting sqref="M98 L99:M104 M105 M108 L109:M109 M110 L113:M113 M114 L117:M118 M119 M122:M125 M127:M135">
    <cfRule type="cellIs" dxfId="158" priority="176" stopIfTrue="1" operator="lessThan">
      <formula>0</formula>
    </cfRule>
  </conditionalFormatting>
  <conditionalFormatting sqref="T98 S99:T104 T105 T108 S109:T109 T110 S113:T113 T114 S117:T118 T119 T122:T125 T127:T135">
    <cfRule type="cellIs" dxfId="157" priority="175" stopIfTrue="1" operator="lessThan">
      <formula>0</formula>
    </cfRule>
  </conditionalFormatting>
  <conditionalFormatting sqref="F334 E335:F340 F341 F344 E345:F345 F346 E349:F349 F350 E353:F354 F355 F358:F361 F363:F371">
    <cfRule type="cellIs" dxfId="156" priority="174" stopIfTrue="1" operator="lessThan">
      <formula>0</formula>
    </cfRule>
  </conditionalFormatting>
  <conditionalFormatting sqref="M334 L335:M340 M341 M344 L345:M345 M346 L349:M349 M350 L353:M354 M355 M358:M361 M363:M371">
    <cfRule type="cellIs" dxfId="155" priority="173" stopIfTrue="1" operator="lessThan">
      <formula>0</formula>
    </cfRule>
  </conditionalFormatting>
  <conditionalFormatting sqref="M407">
    <cfRule type="cellIs" dxfId="154" priority="158" stopIfTrue="1" operator="lessThan">
      <formula>0</formula>
    </cfRule>
  </conditionalFormatting>
  <conditionalFormatting sqref="T334 S335:T340 T341 T344 S345:T345 T346 S349:T349 T350 S353:T354 T355 T358:T361 T363:T371">
    <cfRule type="cellIs" dxfId="153" priority="171" stopIfTrue="1" operator="lessThan">
      <formula>0</formula>
    </cfRule>
  </conditionalFormatting>
  <conditionalFormatting sqref="AA359:AA361 AA354">
    <cfRule type="cellIs" dxfId="152" priority="170" stopIfTrue="1" operator="lessThan">
      <formula>0</formula>
    </cfRule>
  </conditionalFormatting>
  <conditionalFormatting sqref="AA334 Z335:AA340 AA341 AA344 Z345:AA345 AA346 Z349:AA349 AA350 Z353:AA353 AA355 AA363:AA371">
    <cfRule type="cellIs" dxfId="151" priority="169" stopIfTrue="1" operator="lessThan">
      <formula>0</formula>
    </cfRule>
  </conditionalFormatting>
  <conditionalFormatting sqref="AH334 AG335:AH340 AH341 AH344 AG345:AH345 AH346 AG349:AH349 AH350 AG353:AH354 AH355 AH358:AH361 AH363:AH371">
    <cfRule type="cellIs" dxfId="150" priority="168" stopIfTrue="1" operator="lessThan">
      <formula>0</formula>
    </cfRule>
  </conditionalFormatting>
  <conditionalFormatting sqref="E379:F385 F386 F389:F390 E391:F391 F392 E395:F395 F396 E399:F401 F402 F409:F417">
    <cfRule type="cellIs" dxfId="149" priority="163" stopIfTrue="1" operator="lessThan">
      <formula>0</formula>
    </cfRule>
  </conditionalFormatting>
  <conditionalFormatting sqref="L379:M385 M389 L390:M390 L394:M394 L398:M399 M403:M405 L406:M406 M409:M417 M386">
    <cfRule type="cellIs" dxfId="148" priority="162" stopIfTrue="1" operator="lessThan">
      <formula>0</formula>
    </cfRule>
  </conditionalFormatting>
  <conditionalFormatting sqref="M391">
    <cfRule type="cellIs" dxfId="147" priority="161" stopIfTrue="1" operator="lessThan">
      <formula>0</formula>
    </cfRule>
  </conditionalFormatting>
  <conditionalFormatting sqref="M395">
    <cfRule type="cellIs" dxfId="146" priority="160" stopIfTrue="1" operator="lessThan">
      <formula>0</formula>
    </cfRule>
  </conditionalFormatting>
  <conditionalFormatting sqref="M400">
    <cfRule type="cellIs" dxfId="145" priority="159" stopIfTrue="1" operator="lessThan">
      <formula>0</formula>
    </cfRule>
  </conditionalFormatting>
  <conditionalFormatting sqref="E425:F431 F432 F435:F438 E441:F441 F442 F445 F458:F466 F447:F448">
    <cfRule type="cellIs" dxfId="144" priority="157" stopIfTrue="1" operator="lessThan">
      <formula>0</formula>
    </cfRule>
  </conditionalFormatting>
  <conditionalFormatting sqref="F446">
    <cfRule type="cellIs" dxfId="143" priority="156" stopIfTrue="1" operator="lessThan">
      <formula>0</formula>
    </cfRule>
  </conditionalFormatting>
  <conditionalFormatting sqref="M425:M426 L427:M431 M432 M435:M436 L437:M437 M438 L441:M441 M442 L445:M447 M448 M451:M456 M458:M466">
    <cfRule type="cellIs" dxfId="142" priority="155" stopIfTrue="1" operator="lessThan">
      <formula>0</formula>
    </cfRule>
  </conditionalFormatting>
  <conditionalFormatting sqref="T451:T455">
    <cfRule type="cellIs" dxfId="141" priority="154" stopIfTrue="1" operator="lessThan">
      <formula>0</formula>
    </cfRule>
  </conditionalFormatting>
  <conditionalFormatting sqref="S425:T431 T432 T435:T438 S441:T441 T442 T445 T457:T465 T447:T448">
    <cfRule type="cellIs" dxfId="140" priority="153" stopIfTrue="1" operator="lessThan">
      <formula>0</formula>
    </cfRule>
  </conditionalFormatting>
  <conditionalFormatting sqref="T446">
    <cfRule type="cellIs" dxfId="139" priority="152" stopIfTrue="1" operator="lessThan">
      <formula>0</formula>
    </cfRule>
  </conditionalFormatting>
  <conditionalFormatting sqref="Z425:AA431 AA432 AA435:AA438 Z441:AA441 AA442 AA445 AA458:AA466 AA447:AA448">
    <cfRule type="cellIs" dxfId="138" priority="151" stopIfTrue="1" operator="lessThan">
      <formula>0</formula>
    </cfRule>
  </conditionalFormatting>
  <conditionalFormatting sqref="AA446">
    <cfRule type="cellIs" dxfId="137" priority="150" stopIfTrue="1" operator="lessThan">
      <formula>0</formula>
    </cfRule>
  </conditionalFormatting>
  <conditionalFormatting sqref="F474:F475 E476:F480 F481 F484:F486 E489:F489 F490 E493:F494 F495 F498:F499 E500:F500 F501 F503:F511">
    <cfRule type="cellIs" dxfId="136" priority="149" stopIfTrue="1" operator="lessThan">
      <formula>0</formula>
    </cfRule>
  </conditionalFormatting>
  <conditionalFormatting sqref="AH474:AH475 AG476:AH480 AH481 AH484:AH486 AG489:AH489 AH490 AG493:AH494 AH495 AH499 AG500:AH500 AH501 AH503:AH511">
    <cfRule type="cellIs" dxfId="135" priority="148" stopIfTrue="1" operator="lessThan">
      <formula>0</formula>
    </cfRule>
  </conditionalFormatting>
  <conditionalFormatting sqref="AH498">
    <cfRule type="cellIs" dxfId="134" priority="147" stopIfTrue="1" operator="lessThan">
      <formula>0</formula>
    </cfRule>
  </conditionalFormatting>
  <conditionalFormatting sqref="BJ474:BJ475 BI476:BJ480 BJ481 BJ484:BJ486 BI489:BJ489 BJ490 BI493:BJ494 BJ495 BJ498:BJ499 BI500:BJ500 BJ501 BJ503:BJ511">
    <cfRule type="cellIs" dxfId="133" priority="146" stopIfTrue="1" operator="lessThan">
      <formula>0</formula>
    </cfRule>
  </conditionalFormatting>
  <conditionalFormatting sqref="BQ474:BQ475 BP476:BQ480 BQ481 BQ484:BQ486 BP489:BQ489 BQ490 BP493:BQ494 BQ495 BQ499 BP500:BQ500 BQ501 BQ503:BQ511">
    <cfRule type="cellIs" dxfId="132" priority="145" stopIfTrue="1" operator="lessThan">
      <formula>0</formula>
    </cfRule>
  </conditionalFormatting>
  <conditionalFormatting sqref="BQ498">
    <cfRule type="cellIs" dxfId="131" priority="144" stopIfTrue="1" operator="lessThan">
      <formula>0</formula>
    </cfRule>
  </conditionalFormatting>
  <conditionalFormatting sqref="F546">
    <cfRule type="cellIs" dxfId="130" priority="139" stopIfTrue="1" operator="lessThan">
      <formula>0</formula>
    </cfRule>
  </conditionalFormatting>
  <conditionalFormatting sqref="E521:F528 E520 F519:F520">
    <cfRule type="cellIs" dxfId="129" priority="142" stopIfTrue="1" operator="lessThan">
      <formula>0</formula>
    </cfRule>
  </conditionalFormatting>
  <conditionalFormatting sqref="F547:F549 F542">
    <cfRule type="cellIs" dxfId="128" priority="141" stopIfTrue="1" operator="lessThan">
      <formula>0</formula>
    </cfRule>
  </conditionalFormatting>
  <conditionalFormatting sqref="F529 F532 E533:F533 F534 E537:F537 F538 E541:F541 F543 F551:F559">
    <cfRule type="cellIs" dxfId="127" priority="140" stopIfTrue="1" operator="lessThan">
      <formula>0</formula>
    </cfRule>
  </conditionalFormatting>
  <conditionalFormatting sqref="M546">
    <cfRule type="cellIs" dxfId="126" priority="135" stopIfTrue="1" operator="lessThan">
      <formula>0</formula>
    </cfRule>
  </conditionalFormatting>
  <conditionalFormatting sqref="L521:M526 L520 M519:M520">
    <cfRule type="cellIs" dxfId="125" priority="138" stopIfTrue="1" operator="lessThan">
      <formula>0</formula>
    </cfRule>
  </conditionalFormatting>
  <conditionalFormatting sqref="M547:M549 M542">
    <cfRule type="cellIs" dxfId="124" priority="137" stopIfTrue="1" operator="lessThan">
      <formula>0</formula>
    </cfRule>
  </conditionalFormatting>
  <conditionalFormatting sqref="M529 M532 L533:M533 M534 L537:M537 M538 L541:M541 M543 M551:M559">
    <cfRule type="cellIs" dxfId="123" priority="136" stopIfTrue="1" operator="lessThan">
      <formula>0</formula>
    </cfRule>
  </conditionalFormatting>
  <conditionalFormatting sqref="T546">
    <cfRule type="cellIs" dxfId="122" priority="131" stopIfTrue="1" operator="lessThan">
      <formula>0</formula>
    </cfRule>
  </conditionalFormatting>
  <conditionalFormatting sqref="S521:T526 S520 T519:T520">
    <cfRule type="cellIs" dxfId="121" priority="134" stopIfTrue="1" operator="lessThan">
      <formula>0</formula>
    </cfRule>
  </conditionalFormatting>
  <conditionalFormatting sqref="T547:T549 T542">
    <cfRule type="cellIs" dxfId="120" priority="133" stopIfTrue="1" operator="lessThan">
      <formula>0</formula>
    </cfRule>
  </conditionalFormatting>
  <conditionalFormatting sqref="T529 T532 S533:T533 T534 S537:T537 T538 S541:T541 T543 T551:T559">
    <cfRule type="cellIs" dxfId="119" priority="132" stopIfTrue="1" operator="lessThan">
      <formula>0</formula>
    </cfRule>
  </conditionalFormatting>
  <conditionalFormatting sqref="AA546">
    <cfRule type="cellIs" dxfId="118" priority="127" stopIfTrue="1" operator="lessThan">
      <formula>0</formula>
    </cfRule>
  </conditionalFormatting>
  <conditionalFormatting sqref="Z521:AA526 Z520 AA519:AA520">
    <cfRule type="cellIs" dxfId="117" priority="130" stopIfTrue="1" operator="lessThan">
      <formula>0</formula>
    </cfRule>
  </conditionalFormatting>
  <conditionalFormatting sqref="AA547:AA549 AA542">
    <cfRule type="cellIs" dxfId="116" priority="129" stopIfTrue="1" operator="lessThan">
      <formula>0</formula>
    </cfRule>
  </conditionalFormatting>
  <conditionalFormatting sqref="AA529 AA532 Z533:AA533 AA534 Z537:AA537 AA538 Z541:AA541 AA543 AA551:AA559">
    <cfRule type="cellIs" dxfId="115" priority="128" stopIfTrue="1" operator="lessThan">
      <formula>0</formula>
    </cfRule>
  </conditionalFormatting>
  <conditionalFormatting sqref="AH546">
    <cfRule type="cellIs" dxfId="114" priority="123" stopIfTrue="1" operator="lessThan">
      <formula>0</formula>
    </cfRule>
  </conditionalFormatting>
  <conditionalFormatting sqref="AG521:AH526 AG520 AH519:AH520">
    <cfRule type="cellIs" dxfId="113" priority="126" stopIfTrue="1" operator="lessThan">
      <formula>0</formula>
    </cfRule>
  </conditionalFormatting>
  <conditionalFormatting sqref="AH547:AH549 AH542">
    <cfRule type="cellIs" dxfId="112" priority="125" stopIfTrue="1" operator="lessThan">
      <formula>0</formula>
    </cfRule>
  </conditionalFormatting>
  <conditionalFormatting sqref="AH529 AH532 AG533:AH533 AH534 AG537:AH537 AH538 AG541:AH541 AH543 AH551:AH559">
    <cfRule type="cellIs" dxfId="111" priority="124" stopIfTrue="1" operator="lessThan">
      <formula>0</formula>
    </cfRule>
  </conditionalFormatting>
  <conditionalFormatting sqref="L527:M527">
    <cfRule type="cellIs" dxfId="110" priority="122" stopIfTrue="1" operator="lessThan">
      <formula>0</formula>
    </cfRule>
  </conditionalFormatting>
  <conditionalFormatting sqref="M528">
    <cfRule type="cellIs" dxfId="109" priority="120" stopIfTrue="1" operator="lessThan">
      <formula>0</formula>
    </cfRule>
  </conditionalFormatting>
  <conditionalFormatting sqref="L528">
    <cfRule type="cellIs" dxfId="108" priority="119" stopIfTrue="1" operator="lessThan">
      <formula>0</formula>
    </cfRule>
  </conditionalFormatting>
  <conditionalFormatting sqref="K528">
    <cfRule type="cellIs" dxfId="107" priority="118" stopIfTrue="1" operator="lessThan">
      <formula>0</formula>
    </cfRule>
  </conditionalFormatting>
  <conditionalFormatting sqref="J528">
    <cfRule type="cellIs" dxfId="106" priority="117" stopIfTrue="1" operator="lessThan">
      <formula>0</formula>
    </cfRule>
  </conditionalFormatting>
  <conditionalFormatting sqref="I528">
    <cfRule type="cellIs" dxfId="105" priority="116" stopIfTrue="1" operator="lessThan">
      <formula>0</formula>
    </cfRule>
  </conditionalFormatting>
  <conditionalFormatting sqref="H528">
    <cfRule type="cellIs" dxfId="104" priority="115" stopIfTrue="1" operator="lessThan">
      <formula>0</formula>
    </cfRule>
  </conditionalFormatting>
  <conditionalFormatting sqref="S527:T527">
    <cfRule type="cellIs" dxfId="103" priority="114" stopIfTrue="1" operator="lessThan">
      <formula>0</formula>
    </cfRule>
  </conditionalFormatting>
  <conditionalFormatting sqref="T528">
    <cfRule type="cellIs" dxfId="102" priority="113" stopIfTrue="1" operator="lessThan">
      <formula>0</formula>
    </cfRule>
  </conditionalFormatting>
  <conditionalFormatting sqref="S528">
    <cfRule type="cellIs" dxfId="101" priority="112" stopIfTrue="1" operator="lessThan">
      <formula>0</formula>
    </cfRule>
  </conditionalFormatting>
  <conditionalFormatting sqref="R528">
    <cfRule type="cellIs" dxfId="100" priority="111" stopIfTrue="1" operator="lessThan">
      <formula>0</formula>
    </cfRule>
  </conditionalFormatting>
  <conditionalFormatting sqref="Q528">
    <cfRule type="cellIs" dxfId="99" priority="110" stopIfTrue="1" operator="lessThan">
      <formula>0</formula>
    </cfRule>
  </conditionalFormatting>
  <conditionalFormatting sqref="P528">
    <cfRule type="cellIs" dxfId="98" priority="109" stopIfTrue="1" operator="lessThan">
      <formula>0</formula>
    </cfRule>
  </conditionalFormatting>
  <conditionalFormatting sqref="O528">
    <cfRule type="cellIs" dxfId="97" priority="108" stopIfTrue="1" operator="lessThan">
      <formula>0</formula>
    </cfRule>
  </conditionalFormatting>
  <conditionalFormatting sqref="Z527:AA527">
    <cfRule type="cellIs" dxfId="96" priority="107" stopIfTrue="1" operator="lessThan">
      <formula>0</formula>
    </cfRule>
  </conditionalFormatting>
  <conditionalFormatting sqref="AA528">
    <cfRule type="cellIs" dxfId="95" priority="106" stopIfTrue="1" operator="lessThan">
      <formula>0</formula>
    </cfRule>
  </conditionalFormatting>
  <conditionalFormatting sqref="Z528">
    <cfRule type="cellIs" dxfId="94" priority="105" stopIfTrue="1" operator="lessThan">
      <formula>0</formula>
    </cfRule>
  </conditionalFormatting>
  <conditionalFormatting sqref="Y528">
    <cfRule type="cellIs" dxfId="93" priority="104" stopIfTrue="1" operator="lessThan">
      <formula>0</formula>
    </cfRule>
  </conditionalFormatting>
  <conditionalFormatting sqref="X528">
    <cfRule type="cellIs" dxfId="92" priority="103" stopIfTrue="1" operator="lessThan">
      <formula>0</formula>
    </cfRule>
  </conditionalFormatting>
  <conditionalFormatting sqref="W528">
    <cfRule type="cellIs" dxfId="91" priority="102" stopIfTrue="1" operator="lessThan">
      <formula>0</formula>
    </cfRule>
  </conditionalFormatting>
  <conditionalFormatting sqref="V528">
    <cfRule type="cellIs" dxfId="90" priority="101" stopIfTrue="1" operator="lessThan">
      <formula>0</formula>
    </cfRule>
  </conditionalFormatting>
  <conditionalFormatting sqref="AH528">
    <cfRule type="cellIs" dxfId="89" priority="99" stopIfTrue="1" operator="lessThan">
      <formula>0</formula>
    </cfRule>
  </conditionalFormatting>
  <conditionalFormatting sqref="AG528">
    <cfRule type="cellIs" dxfId="88" priority="98" stopIfTrue="1" operator="lessThan">
      <formula>0</formula>
    </cfRule>
  </conditionalFormatting>
  <conditionalFormatting sqref="AF528">
    <cfRule type="cellIs" dxfId="87" priority="97" stopIfTrue="1" operator="lessThan">
      <formula>0</formula>
    </cfRule>
  </conditionalFormatting>
  <conditionalFormatting sqref="AE528">
    <cfRule type="cellIs" dxfId="86" priority="96" stopIfTrue="1" operator="lessThan">
      <formula>0</formula>
    </cfRule>
  </conditionalFormatting>
  <conditionalFormatting sqref="AD528">
    <cfRule type="cellIs" dxfId="85" priority="95" stopIfTrue="1" operator="lessThan">
      <formula>0</formula>
    </cfRule>
  </conditionalFormatting>
  <conditionalFormatting sqref="AC528">
    <cfRule type="cellIs" dxfId="84" priority="94" stopIfTrue="1" operator="lessThan">
      <formula>0</formula>
    </cfRule>
  </conditionalFormatting>
  <conditionalFormatting sqref="AG527:AH527">
    <cfRule type="cellIs" dxfId="83" priority="93" stopIfTrue="1" operator="lessThan">
      <formula>0</formula>
    </cfRule>
  </conditionalFormatting>
  <conditionalFormatting sqref="F567 E568:F569 F574 F577 E578:F578 F579 E582:F582 F583 E586:F587 F588 F591:F594 F596:F604 E571:F573">
    <cfRule type="cellIs" dxfId="82" priority="92" stopIfTrue="1" operator="lessThan">
      <formula>0</formula>
    </cfRule>
  </conditionalFormatting>
  <conditionalFormatting sqref="M567 L568:M573 M574 M577 L578:M578 M579 L582:M582 M583 L586:M587 M588 M591:M594 M596:M604">
    <cfRule type="cellIs" dxfId="81" priority="91" stopIfTrue="1" operator="lessThan">
      <formula>0</formula>
    </cfRule>
  </conditionalFormatting>
  <conditionalFormatting sqref="T567 S568:T573 T574 T577 S578:T578 T579 S582:T582 T583 S586:T587 T588 T591:T594 T596:T604">
    <cfRule type="cellIs" dxfId="80" priority="90" stopIfTrue="1" operator="lessThan">
      <formula>0</formula>
    </cfRule>
  </conditionalFormatting>
  <conditionalFormatting sqref="AA567 Z568:AA573 AA574 AA577 Z578:AA578 AA579 Z582:AA582 AA583 Z586:AA587 AA588 AA591:AA594 AA596:AA604">
    <cfRule type="cellIs" dxfId="79" priority="89" stopIfTrue="1" operator="lessThan">
      <formula>0</formula>
    </cfRule>
  </conditionalFormatting>
  <conditionalFormatting sqref="AH567 AG568:AH573 AH574 AH577 AG578:AH578 AH579 AG582:AH582 AH583 AG586:AH587 AH588 AH591:AH594 AH596:AH604">
    <cfRule type="cellIs" dxfId="78" priority="88" stopIfTrue="1" operator="lessThan">
      <formula>0</formula>
    </cfRule>
  </conditionalFormatting>
  <conditionalFormatting sqref="E570:F570">
    <cfRule type="cellIs" dxfId="77" priority="87" stopIfTrue="1" operator="lessThan">
      <formula>0</formula>
    </cfRule>
  </conditionalFormatting>
  <conditionalFormatting sqref="AO567 AN568:AO573 AO574 AO577 AN578:AO578 AO579 AN582:AO582 AO583 AN586:AO587 AO588 AO591:AO594 AO596:AO604">
    <cfRule type="cellIs" dxfId="76" priority="86" stopIfTrue="1" operator="lessThan">
      <formula>0</formula>
    </cfRule>
  </conditionalFormatting>
  <conditionalFormatting sqref="T407">
    <cfRule type="cellIs" dxfId="75" priority="81" stopIfTrue="1" operator="lessThan">
      <formula>0</formula>
    </cfRule>
  </conditionalFormatting>
  <conditionalFormatting sqref="S379:T385 T389 S390:T390 S394:T394 S398:T399 T403:T405 S406:T406 T409:T417 T386">
    <cfRule type="cellIs" dxfId="74" priority="85" stopIfTrue="1" operator="lessThan">
      <formula>0</formula>
    </cfRule>
  </conditionalFormatting>
  <conditionalFormatting sqref="T391">
    <cfRule type="cellIs" dxfId="73" priority="84" stopIfTrue="1" operator="lessThan">
      <formula>0</formula>
    </cfRule>
  </conditionalFormatting>
  <conditionalFormatting sqref="T395">
    <cfRule type="cellIs" dxfId="72" priority="83" stopIfTrue="1" operator="lessThan">
      <formula>0</formula>
    </cfRule>
  </conditionalFormatting>
  <conditionalFormatting sqref="T400">
    <cfRule type="cellIs" dxfId="71" priority="82" stopIfTrue="1" operator="lessThan">
      <formula>0</formula>
    </cfRule>
  </conditionalFormatting>
  <conditionalFormatting sqref="BJ455">
    <cfRule type="cellIs" dxfId="70" priority="51" stopIfTrue="1" operator="lessThan">
      <formula>0</formula>
    </cfRule>
  </conditionalFormatting>
  <conditionalFormatting sqref="AH455">
    <cfRule type="cellIs" dxfId="69" priority="76" stopIfTrue="1" operator="lessThan">
      <formula>0</formula>
    </cfRule>
  </conditionalFormatting>
  <conditionalFormatting sqref="AG425:AH431 AH435 AG436:AH436 AG440:AH440 AG444:AH445 AH449:AH451 AG452:AH454 AH457:AH465 AH432">
    <cfRule type="cellIs" dxfId="68" priority="80" stopIfTrue="1" operator="lessThan">
      <formula>0</formula>
    </cfRule>
  </conditionalFormatting>
  <conditionalFormatting sqref="AH437">
    <cfRule type="cellIs" dxfId="67" priority="79" stopIfTrue="1" operator="lessThan">
      <formula>0</formula>
    </cfRule>
  </conditionalFormatting>
  <conditionalFormatting sqref="AH441">
    <cfRule type="cellIs" dxfId="66" priority="78" stopIfTrue="1" operator="lessThan">
      <formula>0</formula>
    </cfRule>
  </conditionalFormatting>
  <conditionalFormatting sqref="AH446">
    <cfRule type="cellIs" dxfId="65" priority="77" stopIfTrue="1" operator="lessThan">
      <formula>0</formula>
    </cfRule>
  </conditionalFormatting>
  <conditionalFormatting sqref="AO455">
    <cfRule type="cellIs" dxfId="64" priority="71" stopIfTrue="1" operator="lessThan">
      <formula>0</formula>
    </cfRule>
  </conditionalFormatting>
  <conditionalFormatting sqref="AN425:AO431 AO435 AN436:AO436 AN440:AO440 AN444:AO445 AO449:AO451 AN452:AO454 AO457:AO465 AO432">
    <cfRule type="cellIs" dxfId="63" priority="75" stopIfTrue="1" operator="lessThan">
      <formula>0</formula>
    </cfRule>
  </conditionalFormatting>
  <conditionalFormatting sqref="AO437">
    <cfRule type="cellIs" dxfId="62" priority="74" stopIfTrue="1" operator="lessThan">
      <formula>0</formula>
    </cfRule>
  </conditionalFormatting>
  <conditionalFormatting sqref="AO441">
    <cfRule type="cellIs" dxfId="61" priority="73" stopIfTrue="1" operator="lessThan">
      <formula>0</formula>
    </cfRule>
  </conditionalFormatting>
  <conditionalFormatting sqref="AO446">
    <cfRule type="cellIs" dxfId="60" priority="72" stopIfTrue="1" operator="lessThan">
      <formula>0</formula>
    </cfRule>
  </conditionalFormatting>
  <conditionalFormatting sqref="AV455">
    <cfRule type="cellIs" dxfId="59" priority="66" stopIfTrue="1" operator="lessThan">
      <formula>0</formula>
    </cfRule>
  </conditionalFormatting>
  <conditionalFormatting sqref="AU425:AV431 AV435 AU436:AV436 AU440:AV440 AU444:AV445 AV449:AV451 AU452:AV454 AV457:AV465 AV432">
    <cfRule type="cellIs" dxfId="58" priority="70" stopIfTrue="1" operator="lessThan">
      <formula>0</formula>
    </cfRule>
  </conditionalFormatting>
  <conditionalFormatting sqref="AV437">
    <cfRule type="cellIs" dxfId="57" priority="69" stopIfTrue="1" operator="lessThan">
      <formula>0</formula>
    </cfRule>
  </conditionalFormatting>
  <conditionalFormatting sqref="AV441">
    <cfRule type="cellIs" dxfId="56" priority="68" stopIfTrue="1" operator="lessThan">
      <formula>0</formula>
    </cfRule>
  </conditionalFormatting>
  <conditionalFormatting sqref="AV446">
    <cfRule type="cellIs" dxfId="55" priority="67" stopIfTrue="1" operator="lessThan">
      <formula>0</formula>
    </cfRule>
  </conditionalFormatting>
  <conditionalFormatting sqref="BC455">
    <cfRule type="cellIs" dxfId="54" priority="61" stopIfTrue="1" operator="lessThan">
      <formula>0</formula>
    </cfRule>
  </conditionalFormatting>
  <conditionalFormatting sqref="BB425:BC431 BC435 BB436:BC436 BB440:BC440 BB444:BC445 BC449:BC451 BB452:BC454 BC457:BC465 BC432">
    <cfRule type="cellIs" dxfId="53" priority="65" stopIfTrue="1" operator="lessThan">
      <formula>0</formula>
    </cfRule>
  </conditionalFormatting>
  <conditionalFormatting sqref="BC437">
    <cfRule type="cellIs" dxfId="52" priority="64" stopIfTrue="1" operator="lessThan">
      <formula>0</formula>
    </cfRule>
  </conditionalFormatting>
  <conditionalFormatting sqref="BC441">
    <cfRule type="cellIs" dxfId="51" priority="63" stopIfTrue="1" operator="lessThan">
      <formula>0</formula>
    </cfRule>
  </conditionalFormatting>
  <conditionalFormatting sqref="BC446">
    <cfRule type="cellIs" dxfId="50" priority="62" stopIfTrue="1" operator="lessThan">
      <formula>0</formula>
    </cfRule>
  </conditionalFormatting>
  <conditionalFormatting sqref="BI425:BJ431 BJ435 BI436:BJ436 BI440:BJ440 BI444:BJ445 BJ449:BJ451 BI452:BJ452 BJ457:BJ465 BJ432">
    <cfRule type="cellIs" dxfId="49" priority="55" stopIfTrue="1" operator="lessThan">
      <formula>0</formula>
    </cfRule>
  </conditionalFormatting>
  <conditionalFormatting sqref="BJ437">
    <cfRule type="cellIs" dxfId="48" priority="54" stopIfTrue="1" operator="lessThan">
      <formula>0</formula>
    </cfRule>
  </conditionalFormatting>
  <conditionalFormatting sqref="BJ441">
    <cfRule type="cellIs" dxfId="47" priority="53" stopIfTrue="1" operator="lessThan">
      <formula>0</formula>
    </cfRule>
  </conditionalFormatting>
  <conditionalFormatting sqref="BJ446">
    <cfRule type="cellIs" dxfId="46" priority="52" stopIfTrue="1" operator="lessThan">
      <formula>0</formula>
    </cfRule>
  </conditionalFormatting>
  <conditionalFormatting sqref="BI453:BJ454">
    <cfRule type="cellIs" dxfId="45" priority="50" stopIfTrue="1" operator="lessThan">
      <formula>0</formula>
    </cfRule>
  </conditionalFormatting>
  <conditionalFormatting sqref="AV567 AV574 AV577 AU578:AV578 AV579 AU582:AV582 AV583 AU586:AV587 AV588 AV591:AV594 AV596:AV604 AU568:AV573">
    <cfRule type="cellIs" dxfId="44" priority="49" stopIfTrue="1" operator="lessThan">
      <formula>0</formula>
    </cfRule>
  </conditionalFormatting>
  <conditionalFormatting sqref="F612 E613:F618 F619 F622 E623:F623 F624 E627:F627 F628 E631:F632 F633 F636:F639 F641:F649">
    <cfRule type="cellIs" dxfId="43" priority="48" stopIfTrue="1" operator="lessThan">
      <formula>0</formula>
    </cfRule>
  </conditionalFormatting>
  <conditionalFormatting sqref="M612 M619 M622 L623:M623 M624 L627:M627 M628 L631:M632 M633 M636:M639 M641:M649 L613:M618">
    <cfRule type="cellIs" dxfId="42" priority="47" stopIfTrue="1" operator="lessThan">
      <formula>0</formula>
    </cfRule>
  </conditionalFormatting>
  <conditionalFormatting sqref="T612 T619 T622 S623:T623 T624 S627:T627 T628 S631:T632 T633 T636:T639 T641:T649 S613:T618">
    <cfRule type="cellIs" dxfId="41" priority="46" stopIfTrue="1" operator="lessThan">
      <formula>0</formula>
    </cfRule>
  </conditionalFormatting>
  <conditionalFormatting sqref="AA612 AA619 AA622 Z623:AA623 AA624 Z627:AA627 AA628 Z631:AA632 AA633 AA636:AA639 AA641:AA649 Z613:AA618">
    <cfRule type="cellIs" dxfId="40" priority="45" stopIfTrue="1" operator="lessThan">
      <formula>0</formula>
    </cfRule>
  </conditionalFormatting>
  <conditionalFormatting sqref="AO546">
    <cfRule type="cellIs" dxfId="39" priority="41" stopIfTrue="1" operator="lessThan">
      <formula>0</formula>
    </cfRule>
  </conditionalFormatting>
  <conditionalFormatting sqref="AN521:AO526 AN520 AO519:AO520">
    <cfRule type="cellIs" dxfId="38" priority="44" stopIfTrue="1" operator="lessThan">
      <formula>0</formula>
    </cfRule>
  </conditionalFormatting>
  <conditionalFormatting sqref="AO547:AO549 AO542">
    <cfRule type="cellIs" dxfId="37" priority="43" stopIfTrue="1" operator="lessThan">
      <formula>0</formula>
    </cfRule>
  </conditionalFormatting>
  <conditionalFormatting sqref="AO529 AO532 AN533:AO533 AO534 AN537:AO537 AO538 AN541:AO541 AO543 AO551:AO559">
    <cfRule type="cellIs" dxfId="36" priority="42" stopIfTrue="1" operator="lessThan">
      <formula>0</formula>
    </cfRule>
  </conditionalFormatting>
  <conditionalFormatting sqref="AO528">
    <cfRule type="cellIs" dxfId="35" priority="40" stopIfTrue="1" operator="lessThan">
      <formula>0</formula>
    </cfRule>
  </conditionalFormatting>
  <conditionalFormatting sqref="AN528">
    <cfRule type="cellIs" dxfId="34" priority="39" stopIfTrue="1" operator="lessThan">
      <formula>0</formula>
    </cfRule>
  </conditionalFormatting>
  <conditionalFormatting sqref="AM528">
    <cfRule type="cellIs" dxfId="33" priority="38" stopIfTrue="1" operator="lessThan">
      <formula>0</formula>
    </cfRule>
  </conditionalFormatting>
  <conditionalFormatting sqref="AL528">
    <cfRule type="cellIs" dxfId="32" priority="37" stopIfTrue="1" operator="lessThan">
      <formula>0</formula>
    </cfRule>
  </conditionalFormatting>
  <conditionalFormatting sqref="AK528">
    <cfRule type="cellIs" dxfId="31" priority="36" stopIfTrue="1" operator="lessThan">
      <formula>0</formula>
    </cfRule>
  </conditionalFormatting>
  <conditionalFormatting sqref="AJ528">
    <cfRule type="cellIs" dxfId="30" priority="35" stopIfTrue="1" operator="lessThan">
      <formula>0</formula>
    </cfRule>
  </conditionalFormatting>
  <conditionalFormatting sqref="AN527:AO527">
    <cfRule type="cellIs" dxfId="29" priority="34" stopIfTrue="1" operator="lessThan">
      <formula>0</formula>
    </cfRule>
  </conditionalFormatting>
  <conditionalFormatting sqref="BQ455">
    <cfRule type="cellIs" dxfId="28" priority="29" stopIfTrue="1" operator="lessThan">
      <formula>0</formula>
    </cfRule>
  </conditionalFormatting>
  <conditionalFormatting sqref="BP425:BQ431 BQ435 BP436:BQ436 BP440:BQ440 BP444:BQ445 BQ449 BP452:BQ452 BQ457:BQ465 BQ432 BQ451">
    <cfRule type="cellIs" dxfId="27" priority="33" stopIfTrue="1" operator="lessThan">
      <formula>0</formula>
    </cfRule>
  </conditionalFormatting>
  <conditionalFormatting sqref="BQ437">
    <cfRule type="cellIs" dxfId="26" priority="32" stopIfTrue="1" operator="lessThan">
      <formula>0</formula>
    </cfRule>
  </conditionalFormatting>
  <conditionalFormatting sqref="BQ441">
    <cfRule type="cellIs" dxfId="25" priority="31" stopIfTrue="1" operator="lessThan">
      <formula>0</formula>
    </cfRule>
  </conditionalFormatting>
  <conditionalFormatting sqref="BQ446">
    <cfRule type="cellIs" dxfId="24" priority="30" stopIfTrue="1" operator="lessThan">
      <formula>0</formula>
    </cfRule>
  </conditionalFormatting>
  <conditionalFormatting sqref="BP453:BQ454">
    <cfRule type="cellIs" dxfId="23" priority="28" stopIfTrue="1" operator="lessThan">
      <formula>0</formula>
    </cfRule>
  </conditionalFormatting>
  <conditionalFormatting sqref="BP450:BQ450">
    <cfRule type="cellIs" dxfId="22" priority="27" stopIfTrue="1" operator="lessThan">
      <formula>0</formula>
    </cfRule>
  </conditionalFormatting>
  <conditionalFormatting sqref="M474:M475 L476:M480 M481 M484:M486 L489:M489 M490 L493:M494 M495 M498:M499 L500:M500 M501 M503:M511">
    <cfRule type="cellIs" dxfId="21" priority="26" stopIfTrue="1" operator="lessThan">
      <formula>0</formula>
    </cfRule>
  </conditionalFormatting>
  <conditionalFormatting sqref="T474 S477:T480 T481 T484:T486 S489:T489 T490 S493:T494 T495 T498:T499 S500:T500 T501 T503:T511">
    <cfRule type="cellIs" dxfId="20" priority="25" stopIfTrue="1" operator="lessThan">
      <formula>0</formula>
    </cfRule>
  </conditionalFormatting>
  <conditionalFormatting sqref="T475 S476:T476">
    <cfRule type="cellIs" dxfId="19" priority="22" stopIfTrue="1" operator="lessThan">
      <formula>0</formula>
    </cfRule>
  </conditionalFormatting>
  <conditionalFormatting sqref="BC498">
    <cfRule type="cellIs" dxfId="18" priority="18" stopIfTrue="1" operator="lessThan">
      <formula>0</formula>
    </cfRule>
  </conditionalFormatting>
  <conditionalFormatting sqref="AA474:AA475 Z476:AA480 AA481 AA484:AA486 Z489:AA489 AA490 Z493:AA494 AA495 Z500:AA500 AA501 AA503:AA511 AA498:AA499">
    <cfRule type="cellIs" dxfId="17" priority="21" stopIfTrue="1" operator="lessThan">
      <formula>0</formula>
    </cfRule>
  </conditionalFormatting>
  <conditionalFormatting sqref="AO474:AO475 AN476:AO480 AO481 AO484:AO486 AN489:AO489 AO490 AN493:AO494 AO495 AO498:AO499 AN500:AO500 AO501 AO503:AO511">
    <cfRule type="cellIs" dxfId="16" priority="20" stopIfTrue="1" operator="lessThan">
      <formula>0</formula>
    </cfRule>
  </conditionalFormatting>
  <conditionalFormatting sqref="BX498">
    <cfRule type="cellIs" dxfId="15" priority="16" stopIfTrue="1" operator="lessThan">
      <formula>0</formula>
    </cfRule>
  </conditionalFormatting>
  <conditionalFormatting sqref="BC474:BC475 BB476:BC480 BC481 BC484:BC486 BB489:BC489 BC490 BB493:BC494 BC495 BC499 BB500:BC500 BC501 BC503:BC511">
    <cfRule type="cellIs" dxfId="14" priority="19" stopIfTrue="1" operator="lessThan">
      <formula>0</formula>
    </cfRule>
  </conditionalFormatting>
  <conditionalFormatting sqref="BX474:BX475 BW476:BX480 BX481 BX484:BX486 BW489:BX489 BX490 BW493:BX494 BX495 BX499 BW500:BX500 BX501 BX503:BX511">
    <cfRule type="cellIs" dxfId="13" priority="17" stopIfTrue="1" operator="lessThan">
      <formula>0</formula>
    </cfRule>
  </conditionalFormatting>
  <conditionalFormatting sqref="CE446">
    <cfRule type="cellIs" dxfId="12" priority="8" stopIfTrue="1" operator="lessThan">
      <formula>0</formula>
    </cfRule>
  </conditionalFormatting>
  <conditionalFormatting sqref="AV498">
    <cfRule type="cellIs" dxfId="11" priority="14" stopIfTrue="1" operator="lessThan">
      <formula>0</formula>
    </cfRule>
  </conditionalFormatting>
  <conditionalFormatting sqref="AV474:AV475 AU476:AV480 AV481 AV484:AV486 AU489:AV489 AV490 AU493:AV494 AV495 AV499 AU500:AV500 AV501 AV503:AV511">
    <cfRule type="cellIs" dxfId="10" priority="15" stopIfTrue="1" operator="lessThan">
      <formula>0</formula>
    </cfRule>
  </conditionalFormatting>
  <conditionalFormatting sqref="F657 E658:F663 F664 F667 E668:F668 F669 E672:F672 F673 E676:F677 F678 F681:F684 F686:F694">
    <cfRule type="cellIs" dxfId="9" priority="13" stopIfTrue="1" operator="lessThan">
      <formula>0</formula>
    </cfRule>
  </conditionalFormatting>
  <conditionalFormatting sqref="M657 L658:M663 M664 M667 L668:M668 M669 L672:M672 M673 L676:M677 M678 M681:M684 M686:M694">
    <cfRule type="cellIs" dxfId="8" priority="12" stopIfTrue="1" operator="lessThan">
      <formula>0</formula>
    </cfRule>
  </conditionalFormatting>
  <conditionalFormatting sqref="CD425:CE431 CE432 CE435:CE438 CD441:CE441 CE442 CE445 CE458:CE466 CE447:CE448">
    <cfRule type="cellIs" dxfId="7" priority="9" stopIfTrue="1" operator="lessThan">
      <formula>0</formula>
    </cfRule>
  </conditionalFormatting>
  <conditionalFormatting sqref="BX425:BX426 BW427:BX431 BX432 BX435:BX436 BW437:BX437 BX438 BW441:BX441 BX442 BW445:BX447 BX448 BX451 BX458:BX466 BX456">
    <cfRule type="cellIs" dxfId="6" priority="7" stopIfTrue="1" operator="lessThan">
      <formula>0</formula>
    </cfRule>
  </conditionalFormatting>
  <conditionalFormatting sqref="BX452:BX454 BW455:BX455">
    <cfRule type="cellIs" dxfId="5" priority="6" stopIfTrue="1" operator="lessThan">
      <formula>0</formula>
    </cfRule>
  </conditionalFormatting>
  <conditionalFormatting sqref="CE474 CD475:CE480 CE481 CE484 CD485:CE485 CE486 CD489:CE489 CE490 CD493:CE494 CE495 CE498:CE501 CE503:CE511">
    <cfRule type="cellIs" dxfId="4" priority="5" stopIfTrue="1" operator="lessThan">
      <formula>0</formula>
    </cfRule>
  </conditionalFormatting>
  <conditionalFormatting sqref="AO188 AO195 AO198 AN199:AO199 AO200 AN203:AO203 AO204 AN207:AO208 AO209 AO212:AO215 AO217:AO225 AN189:AO194">
    <cfRule type="cellIs" dxfId="3" priority="4" stopIfTrue="1" operator="lessThan">
      <formula>0</formula>
    </cfRule>
  </conditionalFormatting>
  <conditionalFormatting sqref="AO32:AO34">
    <cfRule type="cellIs" dxfId="2" priority="3" stopIfTrue="1" operator="lessThan">
      <formula>0</formula>
    </cfRule>
  </conditionalFormatting>
  <conditionalFormatting sqref="AO13 AO16:AO19 AN22:AO22 AO23 AO26 AO36:AO44 AO28:AO29 AN6:AO12">
    <cfRule type="cellIs" dxfId="1" priority="2" stopIfTrue="1" operator="lessThan">
      <formula>0</formula>
    </cfRule>
  </conditionalFormatting>
  <conditionalFormatting sqref="AO2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5F9A-9E53-4405-8E31-2B293B876204}">
  <dimension ref="A1:IV181"/>
  <sheetViews>
    <sheetView tabSelected="1" zoomScale="72" zoomScaleNormal="72" workbookViewId="0">
      <selection activeCell="A28" sqref="A28"/>
    </sheetView>
  </sheetViews>
  <sheetFormatPr defaultColWidth="11.44140625" defaultRowHeight="15" customHeight="1"/>
  <cols>
    <col min="1" max="1" width="14.6640625" style="432" customWidth="1"/>
    <col min="2" max="2" width="81.109375" style="228" customWidth="1"/>
    <col min="3" max="3" width="16.5546875" style="432" customWidth="1"/>
    <col min="4" max="4" width="15.5546875" style="682" customWidth="1"/>
    <col min="5" max="5" width="17.109375" style="627" customWidth="1"/>
    <col min="6" max="6" width="15.109375" style="228" customWidth="1"/>
    <col min="7" max="7" width="11.44140625" style="228" customWidth="1"/>
    <col min="8" max="8" width="24.33203125" style="228" customWidth="1"/>
    <col min="9" max="256" width="11.44140625" style="228" customWidth="1"/>
  </cols>
  <sheetData>
    <row r="1" spans="1:256" ht="15" customHeight="1">
      <c r="A1" s="793" t="s">
        <v>883</v>
      </c>
      <c r="B1" s="802"/>
      <c r="C1" s="802"/>
      <c r="D1" s="802"/>
      <c r="E1" s="802"/>
      <c r="F1" s="802"/>
      <c r="G1" s="170"/>
      <c r="H1" s="61"/>
      <c r="IQ1"/>
      <c r="IR1"/>
      <c r="IS1"/>
      <c r="IT1"/>
      <c r="IU1"/>
      <c r="IV1"/>
    </row>
    <row r="2" spans="1:256" ht="15" customHeight="1">
      <c r="A2" s="801" t="s">
        <v>963</v>
      </c>
      <c r="B2" s="801"/>
      <c r="C2" s="801"/>
      <c r="D2" s="801"/>
      <c r="E2" s="801"/>
      <c r="F2" s="801"/>
      <c r="G2" s="170"/>
      <c r="H2" s="61"/>
      <c r="IQ2"/>
      <c r="IR2"/>
      <c r="IS2"/>
      <c r="IT2"/>
      <c r="IU2"/>
      <c r="IV2"/>
    </row>
    <row r="3" spans="1:256" ht="15.75" customHeight="1">
      <c r="A3" s="793" t="s">
        <v>859</v>
      </c>
      <c r="B3" s="793"/>
      <c r="C3" s="793"/>
      <c r="D3" s="793"/>
      <c r="E3" s="793"/>
      <c r="F3" s="793"/>
      <c r="G3" s="170"/>
      <c r="H3" s="61"/>
      <c r="IQ3"/>
      <c r="IR3"/>
      <c r="IS3"/>
      <c r="IT3"/>
      <c r="IU3"/>
      <c r="IV3"/>
    </row>
    <row r="4" spans="1:256" ht="14.4">
      <c r="A4" s="431" t="s">
        <v>1</v>
      </c>
      <c r="B4" s="431" t="s">
        <v>2</v>
      </c>
      <c r="C4" s="431" t="s">
        <v>3</v>
      </c>
      <c r="D4" s="674" t="s">
        <v>72</v>
      </c>
      <c r="E4" s="618" t="s">
        <v>819</v>
      </c>
      <c r="F4" s="431" t="s">
        <v>11</v>
      </c>
      <c r="G4" s="433"/>
      <c r="H4" s="434"/>
      <c r="IQ4"/>
      <c r="IR4"/>
      <c r="IS4"/>
      <c r="IT4"/>
      <c r="IU4"/>
      <c r="IV4"/>
    </row>
    <row r="5" spans="1:256" ht="64.5" hidden="1" customHeight="1">
      <c r="A5" s="246" t="s">
        <v>820</v>
      </c>
      <c r="B5" s="435" t="s">
        <v>861</v>
      </c>
      <c r="C5" s="246" t="s">
        <v>6</v>
      </c>
      <c r="D5" s="675"/>
      <c r="E5" s="619">
        <f>P.UNIT!F363</f>
        <v>17.262579166812838</v>
      </c>
      <c r="F5" s="660">
        <f>D5*E5</f>
        <v>0</v>
      </c>
      <c r="G5" s="546"/>
      <c r="H5" s="547" t="s">
        <v>1174</v>
      </c>
      <c r="IQ5"/>
      <c r="IR5"/>
      <c r="IS5"/>
      <c r="IT5"/>
      <c r="IU5"/>
      <c r="IV5"/>
    </row>
    <row r="6" spans="1:256" ht="45.75" hidden="1" customHeight="1">
      <c r="A6" s="246" t="s">
        <v>821</v>
      </c>
      <c r="B6" s="435" t="s">
        <v>860</v>
      </c>
      <c r="C6" s="246" t="s">
        <v>6</v>
      </c>
      <c r="D6" s="576"/>
      <c r="E6" s="619">
        <f>P.UNIT!M363</f>
        <v>17.262579166812838</v>
      </c>
      <c r="F6" s="660">
        <f t="shared" ref="F6:F9" si="0">D6*E6</f>
        <v>0</v>
      </c>
      <c r="G6" s="549"/>
      <c r="H6" s="550" t="s">
        <v>1175</v>
      </c>
      <c r="IQ6"/>
      <c r="IR6"/>
      <c r="IS6"/>
      <c r="IT6"/>
      <c r="IU6"/>
      <c r="IV6"/>
    </row>
    <row r="7" spans="1:256" ht="49.5" customHeight="1">
      <c r="A7" s="246" t="s">
        <v>822</v>
      </c>
      <c r="B7" s="551" t="s">
        <v>1176</v>
      </c>
      <c r="C7" s="246" t="s">
        <v>308</v>
      </c>
      <c r="D7" s="672">
        <v>104.21</v>
      </c>
      <c r="E7" s="619">
        <f>P.UNIT!T363</f>
        <v>226.61910403911173</v>
      </c>
      <c r="F7" s="660">
        <f t="shared" si="0"/>
        <v>23615.976831915832</v>
      </c>
      <c r="G7" s="670"/>
      <c r="H7" s="553"/>
      <c r="IN7"/>
      <c r="IO7"/>
      <c r="IP7"/>
      <c r="IQ7"/>
      <c r="IR7"/>
      <c r="IS7"/>
      <c r="IT7"/>
      <c r="IU7"/>
      <c r="IV7"/>
    </row>
    <row r="8" spans="1:256" ht="61.5" hidden="1" customHeight="1">
      <c r="A8" s="246" t="s">
        <v>823</v>
      </c>
      <c r="B8" s="435" t="s">
        <v>862</v>
      </c>
      <c r="C8" s="246" t="s">
        <v>308</v>
      </c>
      <c r="D8" s="576"/>
      <c r="E8" s="619">
        <f>P.UNIT!AA363</f>
        <v>103.22752384525386</v>
      </c>
      <c r="F8" s="660">
        <f>D8*E8</f>
        <v>0</v>
      </c>
      <c r="G8" s="554"/>
      <c r="H8" s="555" t="s">
        <v>1256</v>
      </c>
      <c r="IQ8"/>
      <c r="IR8"/>
      <c r="IS8"/>
      <c r="IT8"/>
      <c r="IU8"/>
      <c r="IV8"/>
    </row>
    <row r="9" spans="1:256" ht="45.75" hidden="1" customHeight="1">
      <c r="A9" s="246" t="s">
        <v>824</v>
      </c>
      <c r="B9" s="435" t="s">
        <v>863</v>
      </c>
      <c r="C9" s="437" t="s">
        <v>1022</v>
      </c>
      <c r="D9" s="576"/>
      <c r="E9" s="619">
        <f>P.UNIT!AH363</f>
        <v>9.2350053961155485</v>
      </c>
      <c r="F9" s="660">
        <f t="shared" si="0"/>
        <v>0</v>
      </c>
      <c r="G9" s="556"/>
      <c r="H9" s="555" t="s">
        <v>1241</v>
      </c>
      <c r="IQ9"/>
      <c r="IR9"/>
      <c r="IS9"/>
      <c r="IT9"/>
      <c r="IU9"/>
      <c r="IV9"/>
    </row>
    <row r="10" spans="1:256" s="659" customFormat="1" ht="45.75" customHeight="1">
      <c r="A10" s="783" t="s">
        <v>1462</v>
      </c>
      <c r="B10" s="784"/>
      <c r="C10" s="784"/>
      <c r="D10" s="784"/>
      <c r="E10" s="785"/>
      <c r="F10" s="661">
        <f>SUM(F5:F9)</f>
        <v>23615.976831915832</v>
      </c>
      <c r="G10" s="656"/>
      <c r="H10" s="657"/>
      <c r="I10" s="658"/>
      <c r="J10" s="658"/>
      <c r="K10" s="658"/>
      <c r="L10" s="658"/>
      <c r="M10" s="658"/>
      <c r="N10" s="658"/>
      <c r="O10" s="658"/>
      <c r="P10" s="658"/>
      <c r="Q10" s="658"/>
      <c r="R10" s="658"/>
      <c r="S10" s="658"/>
      <c r="T10" s="658"/>
      <c r="U10" s="658"/>
      <c r="V10" s="658"/>
      <c r="W10" s="658"/>
      <c r="X10" s="658"/>
      <c r="Y10" s="658"/>
      <c r="Z10" s="658"/>
      <c r="AA10" s="658"/>
      <c r="AB10" s="658"/>
      <c r="AC10" s="658"/>
      <c r="AD10" s="658"/>
      <c r="AE10" s="658"/>
      <c r="AF10" s="658"/>
      <c r="AG10" s="658"/>
      <c r="AH10" s="658"/>
      <c r="AI10" s="658"/>
      <c r="AJ10" s="658"/>
      <c r="AK10" s="658"/>
      <c r="AL10" s="658"/>
      <c r="AM10" s="658"/>
      <c r="AN10" s="658"/>
      <c r="AO10" s="658"/>
      <c r="AP10" s="658"/>
      <c r="AQ10" s="658"/>
      <c r="AR10" s="658"/>
      <c r="AS10" s="658"/>
      <c r="AT10" s="658"/>
      <c r="AU10" s="658"/>
      <c r="AV10" s="658"/>
      <c r="AW10" s="658"/>
      <c r="AX10" s="658"/>
      <c r="AY10" s="658"/>
      <c r="AZ10" s="658"/>
      <c r="BA10" s="658"/>
      <c r="BB10" s="658"/>
      <c r="BC10" s="658"/>
      <c r="BD10" s="658"/>
      <c r="BE10" s="658"/>
      <c r="BF10" s="658"/>
      <c r="BG10" s="658"/>
      <c r="BH10" s="658"/>
      <c r="BI10" s="658"/>
      <c r="BJ10" s="658"/>
      <c r="BK10" s="658"/>
      <c r="BL10" s="658"/>
      <c r="BM10" s="658"/>
      <c r="BN10" s="658"/>
      <c r="BO10" s="658"/>
      <c r="BP10" s="658"/>
      <c r="BQ10" s="658"/>
      <c r="BR10" s="658"/>
      <c r="BS10" s="658"/>
      <c r="BT10" s="658"/>
      <c r="BU10" s="658"/>
      <c r="BV10" s="658"/>
      <c r="BW10" s="658"/>
      <c r="BX10" s="658"/>
      <c r="BY10" s="658"/>
      <c r="BZ10" s="658"/>
      <c r="CA10" s="658"/>
      <c r="CB10" s="658"/>
      <c r="CC10" s="658"/>
      <c r="CD10" s="658"/>
      <c r="CE10" s="658"/>
      <c r="CF10" s="658"/>
      <c r="CG10" s="658"/>
      <c r="CH10" s="658"/>
      <c r="CI10" s="658"/>
      <c r="CJ10" s="658"/>
      <c r="CK10" s="658"/>
      <c r="CL10" s="658"/>
      <c r="CM10" s="658"/>
      <c r="CN10" s="658"/>
      <c r="CO10" s="658"/>
      <c r="CP10" s="658"/>
      <c r="CQ10" s="658"/>
      <c r="CR10" s="658"/>
      <c r="CS10" s="658"/>
      <c r="CT10" s="658"/>
      <c r="CU10" s="658"/>
      <c r="CV10" s="658"/>
      <c r="CW10" s="658"/>
      <c r="CX10" s="658"/>
      <c r="CY10" s="658"/>
      <c r="CZ10" s="658"/>
      <c r="DA10" s="658"/>
      <c r="DB10" s="658"/>
      <c r="DC10" s="658"/>
      <c r="DD10" s="658"/>
      <c r="DE10" s="658"/>
      <c r="DF10" s="658"/>
      <c r="DG10" s="658"/>
      <c r="DH10" s="658"/>
      <c r="DI10" s="658"/>
      <c r="DJ10" s="658"/>
      <c r="DK10" s="658"/>
      <c r="DL10" s="658"/>
      <c r="DM10" s="658"/>
      <c r="DN10" s="658"/>
      <c r="DO10" s="658"/>
      <c r="DP10" s="658"/>
      <c r="DQ10" s="658"/>
      <c r="DR10" s="658"/>
      <c r="DS10" s="658"/>
      <c r="DT10" s="658"/>
      <c r="DU10" s="658"/>
      <c r="DV10" s="658"/>
      <c r="DW10" s="658"/>
      <c r="DX10" s="658"/>
      <c r="DY10" s="658"/>
      <c r="DZ10" s="658"/>
      <c r="EA10" s="658"/>
      <c r="EB10" s="658"/>
      <c r="EC10" s="658"/>
      <c r="ED10" s="658"/>
      <c r="EE10" s="658"/>
      <c r="EF10" s="658"/>
      <c r="EG10" s="658"/>
      <c r="EH10" s="658"/>
      <c r="EI10" s="658"/>
      <c r="EJ10" s="658"/>
      <c r="EK10" s="658"/>
      <c r="EL10" s="658"/>
      <c r="EM10" s="658"/>
      <c r="EN10" s="658"/>
      <c r="EO10" s="658"/>
      <c r="EP10" s="658"/>
      <c r="EQ10" s="658"/>
      <c r="ER10" s="658"/>
      <c r="ES10" s="658"/>
      <c r="ET10" s="658"/>
      <c r="EU10" s="658"/>
      <c r="EV10" s="658"/>
      <c r="EW10" s="658"/>
      <c r="EX10" s="658"/>
      <c r="EY10" s="658"/>
      <c r="EZ10" s="658"/>
      <c r="FA10" s="658"/>
      <c r="FB10" s="658"/>
      <c r="FC10" s="658"/>
      <c r="FD10" s="658"/>
      <c r="FE10" s="658"/>
      <c r="FF10" s="658"/>
      <c r="FG10" s="658"/>
      <c r="FH10" s="658"/>
      <c r="FI10" s="658"/>
      <c r="FJ10" s="658"/>
      <c r="FK10" s="658"/>
      <c r="FL10" s="658"/>
      <c r="FM10" s="658"/>
      <c r="FN10" s="658"/>
      <c r="FO10" s="658"/>
      <c r="FP10" s="658"/>
      <c r="FQ10" s="658"/>
      <c r="FR10" s="658"/>
      <c r="FS10" s="658"/>
      <c r="FT10" s="658"/>
      <c r="FU10" s="658"/>
      <c r="FV10" s="658"/>
      <c r="FW10" s="658"/>
      <c r="FX10" s="658"/>
      <c r="FY10" s="658"/>
      <c r="FZ10" s="658"/>
      <c r="GA10" s="658"/>
      <c r="GB10" s="658"/>
      <c r="GC10" s="658"/>
      <c r="GD10" s="658"/>
      <c r="GE10" s="658"/>
      <c r="GF10" s="658"/>
      <c r="GG10" s="658"/>
      <c r="GH10" s="658"/>
      <c r="GI10" s="658"/>
      <c r="GJ10" s="658"/>
      <c r="GK10" s="658"/>
      <c r="GL10" s="658"/>
      <c r="GM10" s="658"/>
      <c r="GN10" s="658"/>
      <c r="GO10" s="658"/>
      <c r="GP10" s="658"/>
      <c r="GQ10" s="658"/>
      <c r="GR10" s="658"/>
      <c r="GS10" s="658"/>
      <c r="GT10" s="658"/>
      <c r="GU10" s="658"/>
      <c r="GV10" s="658"/>
      <c r="GW10" s="658"/>
      <c r="GX10" s="658"/>
      <c r="GY10" s="658"/>
      <c r="GZ10" s="658"/>
      <c r="HA10" s="658"/>
      <c r="HB10" s="658"/>
      <c r="HC10" s="658"/>
      <c r="HD10" s="658"/>
      <c r="HE10" s="658"/>
      <c r="HF10" s="658"/>
      <c r="HG10" s="658"/>
      <c r="HH10" s="658"/>
      <c r="HI10" s="658"/>
      <c r="HJ10" s="658"/>
      <c r="HK10" s="658"/>
      <c r="HL10" s="658"/>
      <c r="HM10" s="658"/>
      <c r="HN10" s="658"/>
      <c r="HO10" s="658"/>
      <c r="HP10" s="658"/>
      <c r="HQ10" s="658"/>
      <c r="HR10" s="658"/>
      <c r="HS10" s="658"/>
      <c r="HT10" s="658"/>
      <c r="HU10" s="658"/>
      <c r="HV10" s="658"/>
      <c r="HW10" s="658"/>
      <c r="HX10" s="658"/>
      <c r="HY10" s="658"/>
      <c r="HZ10" s="658"/>
      <c r="IA10" s="658"/>
      <c r="IB10" s="658"/>
      <c r="IC10" s="658"/>
      <c r="ID10" s="658"/>
      <c r="IE10" s="658"/>
      <c r="IF10" s="658"/>
      <c r="IG10" s="658"/>
      <c r="IH10" s="658"/>
      <c r="II10" s="658"/>
      <c r="IJ10" s="658"/>
      <c r="IK10" s="658"/>
      <c r="IL10" s="658"/>
      <c r="IM10" s="658"/>
      <c r="IN10" s="658"/>
      <c r="IO10" s="658"/>
      <c r="IP10" s="658"/>
    </row>
    <row r="11" spans="1:256" ht="25.5" hidden="1" customHeight="1">
      <c r="A11" s="793" t="s">
        <v>864</v>
      </c>
      <c r="B11" s="793"/>
      <c r="C11" s="793"/>
      <c r="D11" s="793"/>
      <c r="E11" s="793"/>
      <c r="F11" s="793"/>
      <c r="G11" s="170"/>
      <c r="H11" s="61"/>
      <c r="IQ11"/>
      <c r="IR11"/>
      <c r="IS11"/>
      <c r="IT11"/>
      <c r="IU11"/>
      <c r="IV11"/>
    </row>
    <row r="12" spans="1:256" ht="57.6" hidden="1">
      <c r="A12" s="437" t="s">
        <v>825</v>
      </c>
      <c r="B12" s="435" t="s">
        <v>1179</v>
      </c>
      <c r="C12" s="246" t="s">
        <v>6</v>
      </c>
      <c r="D12" s="576"/>
      <c r="E12" s="619">
        <f>P.UNIT!F409</f>
        <v>133.42994341855604</v>
      </c>
      <c r="F12" s="660">
        <f>D12*E12</f>
        <v>0</v>
      </c>
      <c r="G12" s="170"/>
      <c r="H12" s="61"/>
      <c r="IQ12"/>
      <c r="IR12"/>
      <c r="IS12"/>
      <c r="IT12"/>
      <c r="IU12"/>
      <c r="IV12"/>
    </row>
    <row r="13" spans="1:256" ht="51" hidden="1" customHeight="1">
      <c r="A13" s="437" t="s">
        <v>826</v>
      </c>
      <c r="B13" s="557" t="s">
        <v>911</v>
      </c>
      <c r="C13" s="246" t="s">
        <v>6</v>
      </c>
      <c r="D13" s="676"/>
      <c r="E13" s="619"/>
      <c r="F13" s="660">
        <f t="shared" ref="F13:F16" si="1">D13*E13</f>
        <v>0</v>
      </c>
      <c r="G13" s="170"/>
      <c r="H13" s="61"/>
      <c r="IQ13"/>
      <c r="IR13"/>
      <c r="IS13"/>
      <c r="IT13"/>
      <c r="IU13"/>
      <c r="IV13"/>
    </row>
    <row r="14" spans="1:256" ht="54.75" hidden="1" customHeight="1">
      <c r="A14" s="437" t="s">
        <v>827</v>
      </c>
      <c r="B14" s="557" t="s">
        <v>912</v>
      </c>
      <c r="C14" s="246" t="s">
        <v>742</v>
      </c>
      <c r="D14" s="676"/>
      <c r="E14" s="619"/>
      <c r="F14" s="660">
        <f t="shared" si="1"/>
        <v>0</v>
      </c>
      <c r="G14" s="170"/>
      <c r="H14" s="61"/>
      <c r="IQ14"/>
      <c r="IR14"/>
      <c r="IS14"/>
      <c r="IT14"/>
      <c r="IU14"/>
      <c r="IV14"/>
    </row>
    <row r="15" spans="1:256" ht="102.75" hidden="1" customHeight="1">
      <c r="A15" s="437" t="s">
        <v>828</v>
      </c>
      <c r="B15" s="558" t="s">
        <v>1257</v>
      </c>
      <c r="C15" s="246" t="s">
        <v>6</v>
      </c>
      <c r="D15" s="576"/>
      <c r="E15" s="619">
        <f>P.UNIT!M409</f>
        <v>649.01524810170883</v>
      </c>
      <c r="F15" s="660">
        <f t="shared" si="1"/>
        <v>0</v>
      </c>
      <c r="G15" s="170"/>
      <c r="H15" s="61"/>
      <c r="IQ15"/>
      <c r="IR15"/>
      <c r="IS15"/>
      <c r="IT15"/>
      <c r="IU15"/>
      <c r="IV15"/>
    </row>
    <row r="16" spans="1:256" ht="102.75" hidden="1" customHeight="1">
      <c r="A16" s="437" t="s">
        <v>829</v>
      </c>
      <c r="B16" s="585" t="s">
        <v>1258</v>
      </c>
      <c r="C16" s="246" t="s">
        <v>294</v>
      </c>
      <c r="D16" s="576"/>
      <c r="E16" s="620">
        <f>P.UNIT!T409</f>
        <v>723.49839103208524</v>
      </c>
      <c r="F16" s="660">
        <f t="shared" si="1"/>
        <v>0</v>
      </c>
      <c r="G16" s="170"/>
      <c r="H16" s="61"/>
      <c r="IQ16"/>
      <c r="IR16"/>
      <c r="IS16"/>
      <c r="IT16"/>
      <c r="IU16"/>
      <c r="IV16"/>
    </row>
    <row r="17" spans="1:256" ht="102.75" hidden="1" customHeight="1">
      <c r="A17" s="437" t="s">
        <v>1237</v>
      </c>
      <c r="B17" s="585" t="s">
        <v>1239</v>
      </c>
      <c r="C17" s="246" t="s">
        <v>294</v>
      </c>
      <c r="D17" s="672"/>
      <c r="E17" s="619"/>
      <c r="F17" s="436"/>
      <c r="G17" s="170"/>
      <c r="H17" s="61"/>
      <c r="IQ17"/>
      <c r="IR17"/>
      <c r="IS17"/>
      <c r="IT17"/>
      <c r="IU17"/>
      <c r="IV17"/>
    </row>
    <row r="18" spans="1:256" ht="102.75" hidden="1" customHeight="1">
      <c r="A18" s="437" t="s">
        <v>1238</v>
      </c>
      <c r="B18" s="585" t="s">
        <v>1240</v>
      </c>
      <c r="C18" s="246" t="s">
        <v>294</v>
      </c>
      <c r="D18" s="672"/>
      <c r="E18" s="619"/>
      <c r="F18" s="436"/>
      <c r="G18" s="170"/>
      <c r="H18" s="61"/>
      <c r="IQ18"/>
      <c r="IR18"/>
      <c r="IS18"/>
      <c r="IT18"/>
      <c r="IU18"/>
      <c r="IV18"/>
    </row>
    <row r="19" spans="1:256" ht="102.75" hidden="1" customHeight="1">
      <c r="A19" s="437" t="s">
        <v>1242</v>
      </c>
      <c r="B19" s="585" t="s">
        <v>1247</v>
      </c>
      <c r="C19" s="246" t="s">
        <v>742</v>
      </c>
      <c r="D19" s="672"/>
      <c r="E19" s="619"/>
      <c r="F19" s="436"/>
      <c r="G19" s="170"/>
      <c r="H19" s="61"/>
      <c r="IQ19"/>
      <c r="IR19"/>
      <c r="IS19"/>
      <c r="IT19"/>
      <c r="IU19"/>
      <c r="IV19"/>
    </row>
    <row r="20" spans="1:256" ht="102.75" hidden="1" customHeight="1">
      <c r="A20" s="437" t="s">
        <v>1243</v>
      </c>
      <c r="B20" s="585" t="s">
        <v>1245</v>
      </c>
      <c r="C20" s="246" t="s">
        <v>742</v>
      </c>
      <c r="D20" s="672"/>
      <c r="E20" s="619"/>
      <c r="F20" s="436"/>
      <c r="G20" s="170"/>
      <c r="H20" s="61"/>
      <c r="IQ20"/>
      <c r="IR20"/>
      <c r="IS20"/>
      <c r="IT20"/>
      <c r="IU20"/>
      <c r="IV20"/>
    </row>
    <row r="21" spans="1:256" ht="102.75" hidden="1" customHeight="1">
      <c r="A21" s="437" t="s">
        <v>1244</v>
      </c>
      <c r="B21" s="585" t="s">
        <v>1246</v>
      </c>
      <c r="C21" s="246" t="s">
        <v>742</v>
      </c>
      <c r="D21" s="672"/>
      <c r="E21" s="619"/>
      <c r="F21" s="436"/>
      <c r="G21" s="170"/>
      <c r="H21" s="61"/>
      <c r="IQ21"/>
      <c r="IR21"/>
      <c r="IS21"/>
      <c r="IT21"/>
      <c r="IU21"/>
      <c r="IV21"/>
    </row>
    <row r="22" spans="1:256" ht="25.5" customHeight="1">
      <c r="A22" s="793" t="s">
        <v>879</v>
      </c>
      <c r="B22" s="793"/>
      <c r="C22" s="793"/>
      <c r="D22" s="793"/>
      <c r="E22" s="793"/>
      <c r="F22" s="793"/>
      <c r="G22" s="170"/>
      <c r="H22" s="61"/>
      <c r="IQ22"/>
      <c r="IR22"/>
      <c r="IS22"/>
      <c r="IT22"/>
      <c r="IU22"/>
      <c r="IV22"/>
    </row>
    <row r="23" spans="1:256" ht="78.75" customHeight="1">
      <c r="A23" s="440" t="s">
        <v>4</v>
      </c>
      <c r="B23" s="435" t="s">
        <v>906</v>
      </c>
      <c r="C23" s="442" t="s">
        <v>6</v>
      </c>
      <c r="D23" s="671">
        <v>62.68</v>
      </c>
      <c r="E23" s="619">
        <f>P.UNIT!F458</f>
        <v>876.07491081025535</v>
      </c>
      <c r="F23" s="660">
        <f>D23*E23</f>
        <v>54912.375409586806</v>
      </c>
      <c r="G23" s="170"/>
      <c r="H23" s="61"/>
      <c r="IQ23"/>
      <c r="IR23"/>
      <c r="IS23"/>
      <c r="IT23"/>
      <c r="IU23"/>
      <c r="IV23"/>
    </row>
    <row r="24" spans="1:256" ht="81" customHeight="1">
      <c r="A24" s="440" t="s">
        <v>7</v>
      </c>
      <c r="B24" s="435" t="s">
        <v>880</v>
      </c>
      <c r="C24" s="441" t="s">
        <v>6</v>
      </c>
      <c r="D24" s="672">
        <v>166.86</v>
      </c>
      <c r="E24" s="619">
        <f>P.UNIT!M458</f>
        <v>294.34874794500001</v>
      </c>
      <c r="F24" s="660">
        <f>D24*E24</f>
        <v>49115.032082102705</v>
      </c>
      <c r="G24" s="170"/>
      <c r="H24" s="61"/>
      <c r="IQ24"/>
      <c r="IR24"/>
      <c r="IS24"/>
      <c r="IT24"/>
      <c r="IU24"/>
      <c r="IV24"/>
    </row>
    <row r="25" spans="1:256" ht="75.75" customHeight="1">
      <c r="A25" s="440" t="s">
        <v>886</v>
      </c>
      <c r="B25" s="435" t="s">
        <v>1180</v>
      </c>
      <c r="C25" s="441" t="s">
        <v>6</v>
      </c>
      <c r="D25" s="672">
        <v>10.79</v>
      </c>
      <c r="E25" s="619">
        <f>P.UNIT!AA458</f>
        <v>1129.4669880856231</v>
      </c>
      <c r="F25" s="660">
        <f t="shared" ref="F25:F28" si="2">D25*E25</f>
        <v>12186.948801443872</v>
      </c>
      <c r="G25" s="170"/>
      <c r="H25" s="61"/>
      <c r="IQ25"/>
      <c r="IR25"/>
      <c r="IS25"/>
      <c r="IT25"/>
      <c r="IU25"/>
      <c r="IV25"/>
    </row>
    <row r="26" spans="1:256" ht="66.75" hidden="1" customHeight="1">
      <c r="A26" s="246" t="s">
        <v>887</v>
      </c>
      <c r="B26" s="435" t="s">
        <v>953</v>
      </c>
      <c r="C26" s="441" t="s">
        <v>742</v>
      </c>
      <c r="D26" s="676"/>
      <c r="E26" s="619"/>
      <c r="F26" s="660">
        <f t="shared" si="2"/>
        <v>0</v>
      </c>
      <c r="G26" s="170"/>
      <c r="H26" s="61"/>
      <c r="IQ26"/>
      <c r="IR26"/>
      <c r="IS26"/>
      <c r="IT26"/>
      <c r="IU26"/>
      <c r="IV26"/>
    </row>
    <row r="27" spans="1:256" ht="84" customHeight="1">
      <c r="A27" s="246" t="s">
        <v>964</v>
      </c>
      <c r="B27" s="551" t="s">
        <v>1266</v>
      </c>
      <c r="C27" s="441" t="s">
        <v>294</v>
      </c>
      <c r="D27" s="672">
        <v>8.02</v>
      </c>
      <c r="E27" s="620">
        <f>P.UNIT!AO457</f>
        <v>989.06673418919229</v>
      </c>
      <c r="F27" s="660">
        <f t="shared" si="2"/>
        <v>7932.3152081973221</v>
      </c>
      <c r="G27" s="170"/>
      <c r="H27" s="61"/>
      <c r="IQ27"/>
      <c r="IR27"/>
      <c r="IS27"/>
      <c r="IT27"/>
      <c r="IU27"/>
      <c r="IV27"/>
    </row>
    <row r="28" spans="1:256" ht="86.25" customHeight="1">
      <c r="A28" s="246" t="s">
        <v>965</v>
      </c>
      <c r="B28" s="551" t="s">
        <v>1234</v>
      </c>
      <c r="C28" s="441" t="s">
        <v>294</v>
      </c>
      <c r="D28" s="576"/>
      <c r="E28" s="620">
        <f>P.UNIT!AV457</f>
        <v>688.94936050289812</v>
      </c>
      <c r="F28" s="660">
        <f t="shared" si="2"/>
        <v>0</v>
      </c>
      <c r="G28" s="170"/>
      <c r="H28" s="61"/>
      <c r="IQ28"/>
      <c r="IR28"/>
      <c r="IS28"/>
      <c r="IT28"/>
      <c r="IU28"/>
      <c r="IV28"/>
    </row>
    <row r="29" spans="1:256" ht="67.5" customHeight="1">
      <c r="A29" s="246" t="s">
        <v>966</v>
      </c>
      <c r="B29" s="551" t="s">
        <v>1235</v>
      </c>
      <c r="C29" s="441" t="s">
        <v>742</v>
      </c>
      <c r="D29" s="672">
        <v>108.3</v>
      </c>
      <c r="E29" s="620">
        <f>P.UNIT!BC457</f>
        <v>712.62300036316401</v>
      </c>
      <c r="F29" s="660">
        <f>D29*E29</f>
        <v>77177.070939330661</v>
      </c>
      <c r="G29" s="170"/>
      <c r="H29" s="61"/>
      <c r="IQ29"/>
      <c r="IR29"/>
      <c r="IS29"/>
      <c r="IT29"/>
      <c r="IU29"/>
      <c r="IV29"/>
    </row>
    <row r="30" spans="1:256" ht="75" customHeight="1">
      <c r="A30" s="246" t="s">
        <v>967</v>
      </c>
      <c r="B30" s="551" t="s">
        <v>1236</v>
      </c>
      <c r="C30" s="246" t="s">
        <v>742</v>
      </c>
      <c r="D30" s="672">
        <v>62.3</v>
      </c>
      <c r="E30" s="620">
        <f>P.UNIT!BJ457</f>
        <v>864.87801705209847</v>
      </c>
      <c r="F30" s="660">
        <f>D30*E30</f>
        <v>53881.900462345729</v>
      </c>
      <c r="G30" s="170"/>
      <c r="H30" s="61"/>
      <c r="IQ30"/>
      <c r="IR30"/>
      <c r="IS30"/>
      <c r="IT30"/>
      <c r="IU30"/>
      <c r="IV30"/>
    </row>
    <row r="31" spans="1:256" ht="75" customHeight="1">
      <c r="A31" s="783" t="s">
        <v>1463</v>
      </c>
      <c r="B31" s="784"/>
      <c r="C31" s="784"/>
      <c r="D31" s="784"/>
      <c r="E31" s="785"/>
      <c r="F31" s="661">
        <f>SUM(F23:F30)</f>
        <v>255205.6429030071</v>
      </c>
      <c r="G31" s="170"/>
      <c r="H31" s="61"/>
      <c r="IQ31"/>
      <c r="IR31"/>
      <c r="IS31"/>
      <c r="IT31"/>
      <c r="IU31"/>
      <c r="IV31"/>
    </row>
    <row r="32" spans="1:256" ht="19.5" customHeight="1">
      <c r="A32" s="793" t="s">
        <v>872</v>
      </c>
      <c r="B32" s="793"/>
      <c r="C32" s="793"/>
      <c r="D32" s="793"/>
      <c r="E32" s="793"/>
      <c r="F32" s="793"/>
      <c r="G32" s="170"/>
      <c r="H32" s="61"/>
      <c r="IQ32"/>
      <c r="IR32"/>
      <c r="IS32"/>
      <c r="IT32"/>
      <c r="IU32"/>
      <c r="IV32"/>
    </row>
    <row r="33" spans="1:256" ht="86.25" customHeight="1">
      <c r="A33" s="246" t="s">
        <v>52</v>
      </c>
      <c r="B33" s="438" t="s">
        <v>1181</v>
      </c>
      <c r="C33" s="246" t="s">
        <v>6</v>
      </c>
      <c r="D33" s="672">
        <v>62.93</v>
      </c>
      <c r="E33" s="619">
        <f>P.UNIT!F503</f>
        <v>340.95284653636355</v>
      </c>
      <c r="F33" s="660">
        <f>D33*E33</f>
        <v>21456.16263253336</v>
      </c>
      <c r="G33" s="170"/>
      <c r="H33" s="61"/>
      <c r="IQ33"/>
      <c r="IR33"/>
      <c r="IS33"/>
      <c r="IT33"/>
      <c r="IU33"/>
      <c r="IV33"/>
    </row>
    <row r="34" spans="1:256" ht="58.5" hidden="1" customHeight="1">
      <c r="A34" s="246" t="s">
        <v>831</v>
      </c>
      <c r="B34" s="247" t="s">
        <v>832</v>
      </c>
      <c r="C34" s="246" t="s">
        <v>294</v>
      </c>
      <c r="D34" s="576"/>
      <c r="E34" s="620">
        <f>P.UNIT!T503</f>
        <v>76.146884179999986</v>
      </c>
      <c r="F34" s="660">
        <f t="shared" ref="F34:F42" si="3">D34*E34</f>
        <v>0</v>
      </c>
      <c r="G34" s="170"/>
      <c r="H34" s="61"/>
      <c r="IQ34"/>
      <c r="IR34"/>
      <c r="IS34"/>
      <c r="IT34"/>
      <c r="IU34"/>
      <c r="IV34"/>
    </row>
    <row r="35" spans="1:256" ht="61.5" customHeight="1">
      <c r="A35" s="437" t="s">
        <v>834</v>
      </c>
      <c r="B35" s="561" t="s">
        <v>1360</v>
      </c>
      <c r="C35" s="246" t="s">
        <v>6</v>
      </c>
      <c r="D35" s="672">
        <v>191.87</v>
      </c>
      <c r="E35" s="620">
        <f>P.UNIT!AA503</f>
        <v>74.673655033703696</v>
      </c>
      <c r="F35" s="660">
        <f t="shared" si="3"/>
        <v>14327.634191316729</v>
      </c>
      <c r="G35" s="170"/>
      <c r="H35" s="61"/>
      <c r="IQ35"/>
      <c r="IR35"/>
      <c r="IS35"/>
      <c r="IT35"/>
      <c r="IU35"/>
      <c r="IV35"/>
    </row>
    <row r="36" spans="1:256" ht="106.5" customHeight="1">
      <c r="A36" s="246" t="s">
        <v>835</v>
      </c>
      <c r="B36" s="438" t="s">
        <v>1182</v>
      </c>
      <c r="C36" s="246" t="s">
        <v>6</v>
      </c>
      <c r="D36" s="672">
        <v>303.14</v>
      </c>
      <c r="E36" s="619">
        <f>P.UNIT!AH503</f>
        <v>62.687890439908763</v>
      </c>
      <c r="F36" s="660">
        <f t="shared" si="3"/>
        <v>19003.207107953942</v>
      </c>
      <c r="G36" s="170"/>
      <c r="H36" s="61"/>
      <c r="IQ36"/>
      <c r="IR36"/>
      <c r="IS36"/>
      <c r="IT36"/>
      <c r="IU36"/>
      <c r="IV36"/>
    </row>
    <row r="37" spans="1:256" ht="78" hidden="1" customHeight="1">
      <c r="A37" s="437" t="s">
        <v>836</v>
      </c>
      <c r="B37" s="247" t="s">
        <v>909</v>
      </c>
      <c r="C37" s="246" t="s">
        <v>6</v>
      </c>
      <c r="D37" s="576"/>
      <c r="E37" s="620">
        <f>P.UNIT!AO503</f>
        <v>104.29058530041665</v>
      </c>
      <c r="F37" s="660">
        <f t="shared" si="3"/>
        <v>0</v>
      </c>
      <c r="G37" s="170"/>
      <c r="H37" s="61"/>
      <c r="IQ37"/>
      <c r="IR37"/>
      <c r="IS37"/>
      <c r="IT37"/>
      <c r="IU37"/>
      <c r="IV37"/>
    </row>
    <row r="38" spans="1:256" ht="109.5" hidden="1" customHeight="1">
      <c r="A38" s="246" t="s">
        <v>837</v>
      </c>
      <c r="B38" s="438" t="s">
        <v>1183</v>
      </c>
      <c r="C38" s="246" t="s">
        <v>6</v>
      </c>
      <c r="D38" s="576"/>
      <c r="E38" s="620">
        <f>P.UNIT!AV503</f>
        <v>115.59370170392543</v>
      </c>
      <c r="F38" s="660">
        <f>D38*E38</f>
        <v>0</v>
      </c>
      <c r="G38" s="562"/>
      <c r="H38" s="61"/>
      <c r="IQ38"/>
      <c r="IR38"/>
      <c r="IS38"/>
      <c r="IT38"/>
      <c r="IU38"/>
      <c r="IV38"/>
    </row>
    <row r="39" spans="1:256" ht="81.75" hidden="1" customHeight="1">
      <c r="A39" s="246" t="s">
        <v>838</v>
      </c>
      <c r="B39" s="247" t="s">
        <v>839</v>
      </c>
      <c r="C39" s="246" t="s">
        <v>6</v>
      </c>
      <c r="D39" s="576"/>
      <c r="E39" s="620">
        <f>P.UNIT!BC503</f>
        <v>115.59370170392543</v>
      </c>
      <c r="F39" s="660">
        <f t="shared" si="3"/>
        <v>0</v>
      </c>
      <c r="G39" s="170"/>
      <c r="H39" s="61"/>
      <c r="IQ39"/>
      <c r="IR39"/>
      <c r="IS39"/>
      <c r="IT39"/>
      <c r="IU39"/>
      <c r="IV39"/>
    </row>
    <row r="40" spans="1:256" ht="88.5" customHeight="1">
      <c r="A40" s="246" t="s">
        <v>840</v>
      </c>
      <c r="B40" s="438" t="s">
        <v>865</v>
      </c>
      <c r="C40" s="246" t="s">
        <v>6</v>
      </c>
      <c r="D40" s="672">
        <v>38.56</v>
      </c>
      <c r="E40" s="619">
        <f>P.UNIT!BJ503</f>
        <v>397.02851833636356</v>
      </c>
      <c r="F40" s="660">
        <f t="shared" si="3"/>
        <v>15309.419667050181</v>
      </c>
      <c r="G40" s="170"/>
      <c r="H40" s="61"/>
      <c r="IQ40"/>
      <c r="IR40"/>
      <c r="IS40"/>
      <c r="IT40"/>
      <c r="IU40"/>
      <c r="IV40"/>
    </row>
    <row r="41" spans="1:256" ht="78.75" hidden="1" customHeight="1">
      <c r="A41" s="246" t="s">
        <v>841</v>
      </c>
      <c r="B41" s="438" t="s">
        <v>866</v>
      </c>
      <c r="C41" s="246" t="s">
        <v>6</v>
      </c>
      <c r="D41" s="576"/>
      <c r="E41" s="620">
        <f>P.UNIT!BQ503</f>
        <v>354.23374960636357</v>
      </c>
      <c r="F41" s="660">
        <f t="shared" si="3"/>
        <v>0</v>
      </c>
      <c r="G41" s="170"/>
      <c r="H41" s="61"/>
      <c r="IQ41"/>
      <c r="IR41"/>
      <c r="IS41"/>
      <c r="IT41"/>
      <c r="IU41"/>
      <c r="IV41"/>
    </row>
    <row r="42" spans="1:256" ht="83.25" hidden="1" customHeight="1">
      <c r="A42" s="246" t="s">
        <v>842</v>
      </c>
      <c r="B42" s="438" t="s">
        <v>867</v>
      </c>
      <c r="C42" s="246" t="s">
        <v>6</v>
      </c>
      <c r="D42" s="576"/>
      <c r="E42" s="620">
        <f>P.UNIT!BX503</f>
        <v>222.35445346999998</v>
      </c>
      <c r="F42" s="660">
        <f t="shared" si="3"/>
        <v>0</v>
      </c>
      <c r="G42" s="136"/>
      <c r="IQ42"/>
      <c r="IR42"/>
      <c r="IS42"/>
      <c r="IT42"/>
      <c r="IU42"/>
      <c r="IV42"/>
    </row>
    <row r="43" spans="1:256" ht="83.25" customHeight="1">
      <c r="A43" s="783" t="s">
        <v>1464</v>
      </c>
      <c r="B43" s="784"/>
      <c r="C43" s="784"/>
      <c r="D43" s="784"/>
      <c r="E43" s="785"/>
      <c r="F43" s="661">
        <f>SUM(F33:F42)</f>
        <v>70096.42359885422</v>
      </c>
      <c r="G43" s="136"/>
      <c r="IQ43"/>
      <c r="IR43"/>
      <c r="IS43"/>
      <c r="IT43"/>
      <c r="IU43"/>
      <c r="IV43"/>
    </row>
    <row r="44" spans="1:256" ht="27.75" customHeight="1">
      <c r="A44" s="793" t="s">
        <v>1225</v>
      </c>
      <c r="B44" s="793"/>
      <c r="C44" s="793"/>
      <c r="D44" s="793"/>
      <c r="E44" s="793"/>
      <c r="F44" s="793"/>
      <c r="G44" s="136"/>
      <c r="IQ44"/>
      <c r="IR44"/>
      <c r="IS44"/>
      <c r="IT44"/>
      <c r="IU44"/>
      <c r="IV44"/>
    </row>
    <row r="45" spans="1:256" ht="98.25" customHeight="1">
      <c r="A45" s="440" t="s">
        <v>1033</v>
      </c>
      <c r="B45" s="438" t="s">
        <v>876</v>
      </c>
      <c r="C45" s="246" t="s">
        <v>907</v>
      </c>
      <c r="D45" s="671">
        <v>1</v>
      </c>
      <c r="E45" s="619">
        <f>P.UNIT!F551</f>
        <v>1663.4021566594713</v>
      </c>
      <c r="F45" s="660">
        <f>D45*E45</f>
        <v>1663.4021566594713</v>
      </c>
      <c r="G45" s="136"/>
      <c r="IQ45"/>
      <c r="IR45"/>
      <c r="IS45"/>
      <c r="IT45"/>
      <c r="IU45"/>
      <c r="IV45"/>
    </row>
    <row r="46" spans="1:256" ht="84.75" customHeight="1">
      <c r="A46" s="440" t="s">
        <v>1062</v>
      </c>
      <c r="B46" s="438" t="s">
        <v>944</v>
      </c>
      <c r="C46" s="440" t="s">
        <v>907</v>
      </c>
      <c r="D46" s="671">
        <v>1</v>
      </c>
      <c r="E46" s="619">
        <f>P.UNIT!M551</f>
        <v>1272.9052694348018</v>
      </c>
      <c r="F46" s="660">
        <f t="shared" ref="F46:F49" si="4">D46*E46</f>
        <v>1272.9052694348018</v>
      </c>
      <c r="G46" s="136"/>
      <c r="IQ46"/>
      <c r="IR46"/>
      <c r="IS46"/>
      <c r="IT46"/>
      <c r="IU46"/>
      <c r="IV46"/>
    </row>
    <row r="47" spans="1:256" ht="57.6">
      <c r="A47" s="440" t="s">
        <v>1154</v>
      </c>
      <c r="B47" s="438" t="s">
        <v>943</v>
      </c>
      <c r="C47" s="440" t="s">
        <v>907</v>
      </c>
      <c r="D47" s="671">
        <v>1</v>
      </c>
      <c r="E47" s="619">
        <f>P.UNIT!T551</f>
        <v>5525.9185889942728</v>
      </c>
      <c r="F47" s="660">
        <f t="shared" si="4"/>
        <v>5525.9185889942728</v>
      </c>
      <c r="G47" s="136"/>
      <c r="IQ47"/>
      <c r="IR47"/>
      <c r="IS47"/>
      <c r="IT47"/>
      <c r="IU47"/>
      <c r="IV47"/>
    </row>
    <row r="48" spans="1:256" ht="107.4" customHeight="1">
      <c r="A48" s="440" t="s">
        <v>1156</v>
      </c>
      <c r="B48" s="561" t="s">
        <v>1184</v>
      </c>
      <c r="C48" s="440" t="s">
        <v>907</v>
      </c>
      <c r="D48" s="671">
        <v>1</v>
      </c>
      <c r="E48" s="619">
        <f>P.UNIT!AA551</f>
        <v>1584.2197694348024</v>
      </c>
      <c r="F48" s="660">
        <f t="shared" si="4"/>
        <v>1584.2197694348024</v>
      </c>
      <c r="G48" s="136"/>
      <c r="H48" s="543"/>
      <c r="IQ48"/>
      <c r="IR48"/>
      <c r="IS48"/>
      <c r="IT48"/>
      <c r="IU48"/>
      <c r="IV48"/>
    </row>
    <row r="49" spans="1:256" ht="107.4" customHeight="1">
      <c r="A49" s="440" t="s">
        <v>1158</v>
      </c>
      <c r="B49" s="561" t="s">
        <v>1185</v>
      </c>
      <c r="C49" s="440" t="s">
        <v>907</v>
      </c>
      <c r="D49" s="671">
        <v>1</v>
      </c>
      <c r="E49" s="619">
        <f>P.UNIT!AH551</f>
        <v>2486.8184566594714</v>
      </c>
      <c r="F49" s="660">
        <f t="shared" si="4"/>
        <v>2486.8184566594714</v>
      </c>
      <c r="G49" s="136"/>
      <c r="IQ49"/>
      <c r="IR49"/>
      <c r="IS49"/>
      <c r="IT49"/>
      <c r="IU49"/>
      <c r="IV49"/>
    </row>
    <row r="50" spans="1:256" ht="107.4" customHeight="1">
      <c r="A50" s="786" t="s">
        <v>1465</v>
      </c>
      <c r="B50" s="787"/>
      <c r="C50" s="787"/>
      <c r="D50" s="787"/>
      <c r="E50" s="788"/>
      <c r="F50" s="661">
        <f>SUM(F45:F49)</f>
        <v>12533.26424118282</v>
      </c>
      <c r="G50" s="136"/>
      <c r="IQ50"/>
      <c r="IR50"/>
      <c r="IS50"/>
      <c r="IT50"/>
      <c r="IU50"/>
      <c r="IV50"/>
    </row>
    <row r="51" spans="1:256" ht="18.75" customHeight="1">
      <c r="A51" s="793" t="s">
        <v>1226</v>
      </c>
      <c r="B51" s="793"/>
      <c r="C51" s="793"/>
      <c r="D51" s="793"/>
      <c r="E51" s="793"/>
      <c r="F51" s="793"/>
      <c r="G51" s="136"/>
      <c r="IQ51"/>
      <c r="IR51"/>
      <c r="IS51"/>
      <c r="IT51"/>
      <c r="IU51"/>
      <c r="IV51"/>
    </row>
    <row r="52" spans="1:256" ht="96.75" customHeight="1">
      <c r="A52" s="440" t="s">
        <v>1048</v>
      </c>
      <c r="B52" s="561" t="s">
        <v>1227</v>
      </c>
      <c r="C52" s="440" t="s">
        <v>907</v>
      </c>
      <c r="D52" s="671">
        <v>1</v>
      </c>
      <c r="E52" s="619">
        <f>P.UNIT!F596</f>
        <v>336.66847157500001</v>
      </c>
      <c r="F52" s="660">
        <f>D52*E52</f>
        <v>336.66847157500001</v>
      </c>
      <c r="G52" s="136"/>
      <c r="IQ52"/>
      <c r="IR52"/>
      <c r="IS52"/>
      <c r="IT52"/>
      <c r="IU52"/>
      <c r="IV52"/>
    </row>
    <row r="53" spans="1:256" ht="90.75" customHeight="1">
      <c r="A53" s="440" t="s">
        <v>1067</v>
      </c>
      <c r="B53" s="561" t="s">
        <v>1228</v>
      </c>
      <c r="C53" s="440" t="s">
        <v>907</v>
      </c>
      <c r="D53" s="671">
        <v>1</v>
      </c>
      <c r="E53" s="619">
        <f>P.UNIT!M596</f>
        <v>319.22041157499996</v>
      </c>
      <c r="F53" s="660">
        <f t="shared" ref="F53:F56" si="5">D53*E53</f>
        <v>319.22041157499996</v>
      </c>
      <c r="G53" s="136"/>
      <c r="IQ53"/>
      <c r="IR53"/>
      <c r="IS53"/>
      <c r="IT53"/>
      <c r="IU53"/>
      <c r="IV53"/>
    </row>
    <row r="54" spans="1:256" ht="87.75" customHeight="1">
      <c r="A54" s="440" t="s">
        <v>1170</v>
      </c>
      <c r="B54" s="561" t="s">
        <v>1229</v>
      </c>
      <c r="C54" s="440" t="s">
        <v>907</v>
      </c>
      <c r="D54" s="671">
        <v>1</v>
      </c>
      <c r="E54" s="619">
        <f>P.UNIT!T596</f>
        <v>409.31198657499999</v>
      </c>
      <c r="F54" s="660">
        <f t="shared" si="5"/>
        <v>409.31198657499999</v>
      </c>
      <c r="G54" s="136"/>
      <c r="IQ54"/>
      <c r="IR54"/>
      <c r="IS54"/>
      <c r="IT54"/>
      <c r="IU54"/>
      <c r="IV54"/>
    </row>
    <row r="55" spans="1:256" ht="107.4" customHeight="1">
      <c r="A55" s="440" t="s">
        <v>1169</v>
      </c>
      <c r="B55" s="561" t="s">
        <v>1230</v>
      </c>
      <c r="C55" s="440" t="s">
        <v>907</v>
      </c>
      <c r="D55" s="671">
        <v>1</v>
      </c>
      <c r="E55" s="619">
        <f>P.UNIT!AA596</f>
        <v>423.66811157500001</v>
      </c>
      <c r="F55" s="660">
        <f t="shared" si="5"/>
        <v>423.66811157500001</v>
      </c>
      <c r="G55" s="136"/>
      <c r="IQ55"/>
      <c r="IR55"/>
      <c r="IS55"/>
      <c r="IT55"/>
      <c r="IU55"/>
      <c r="IV55"/>
    </row>
    <row r="56" spans="1:256" ht="107.4" customHeight="1">
      <c r="A56" s="440" t="s">
        <v>1168</v>
      </c>
      <c r="B56" s="561" t="s">
        <v>1231</v>
      </c>
      <c r="C56" s="440" t="s">
        <v>907</v>
      </c>
      <c r="D56" s="671">
        <v>1</v>
      </c>
      <c r="E56" s="619">
        <f>P.UNIT!AH596</f>
        <v>434.00452157500001</v>
      </c>
      <c r="F56" s="660">
        <f t="shared" si="5"/>
        <v>434.00452157500001</v>
      </c>
      <c r="G56" s="136"/>
      <c r="IQ56"/>
      <c r="IR56"/>
      <c r="IS56"/>
      <c r="IT56"/>
      <c r="IU56"/>
      <c r="IV56"/>
    </row>
    <row r="57" spans="1:256" ht="107.4" customHeight="1">
      <c r="A57" s="432" t="s">
        <v>1317</v>
      </c>
      <c r="B57" s="561" t="s">
        <v>1316</v>
      </c>
      <c r="C57" s="440" t="s">
        <v>907</v>
      </c>
      <c r="D57" s="671">
        <v>1</v>
      </c>
      <c r="E57" s="619">
        <f>P.UNIT!AV596</f>
        <v>464.13751157499996</v>
      </c>
      <c r="F57" s="660">
        <f>D57*E57</f>
        <v>464.13751157499996</v>
      </c>
      <c r="G57" s="136"/>
      <c r="IQ57"/>
      <c r="IR57"/>
      <c r="IS57"/>
      <c r="IT57"/>
      <c r="IU57"/>
      <c r="IV57"/>
    </row>
    <row r="58" spans="1:256" ht="107.4" customHeight="1">
      <c r="A58" s="795" t="s">
        <v>1466</v>
      </c>
      <c r="B58" s="795"/>
      <c r="C58" s="795"/>
      <c r="D58" s="795"/>
      <c r="E58" s="796"/>
      <c r="F58" s="661">
        <f>SUM(F52:F57)</f>
        <v>2387.0110144499995</v>
      </c>
      <c r="G58" s="136"/>
      <c r="IQ58"/>
      <c r="IR58"/>
      <c r="IS58"/>
      <c r="IT58"/>
      <c r="IU58"/>
      <c r="IV58"/>
    </row>
    <row r="59" spans="1:256" ht="21" hidden="1" customHeight="1">
      <c r="A59" s="793" t="s">
        <v>945</v>
      </c>
      <c r="B59" s="793"/>
      <c r="C59" s="793"/>
      <c r="D59" s="793"/>
      <c r="E59" s="793"/>
      <c r="F59" s="793"/>
      <c r="G59" s="136"/>
      <c r="IQ59"/>
      <c r="IR59"/>
      <c r="IS59"/>
      <c r="IT59"/>
      <c r="IU59"/>
      <c r="IV59"/>
    </row>
    <row r="60" spans="1:256" ht="105" hidden="1" customHeight="1">
      <c r="A60" s="440" t="s">
        <v>946</v>
      </c>
      <c r="B60" s="438" t="s">
        <v>1365</v>
      </c>
      <c r="C60" s="440" t="s">
        <v>907</v>
      </c>
      <c r="D60" s="671"/>
      <c r="E60" s="619"/>
      <c r="F60" s="439"/>
      <c r="G60" s="136"/>
      <c r="IQ60"/>
      <c r="IR60"/>
      <c r="IS60"/>
      <c r="IT60"/>
      <c r="IU60"/>
      <c r="IV60"/>
    </row>
    <row r="61" spans="1:256" ht="105" hidden="1" customHeight="1">
      <c r="A61" s="440" t="s">
        <v>948</v>
      </c>
      <c r="B61" s="438" t="s">
        <v>1366</v>
      </c>
      <c r="C61" s="440" t="s">
        <v>907</v>
      </c>
      <c r="D61" s="671"/>
      <c r="E61" s="619"/>
      <c r="F61" s="439"/>
      <c r="G61" s="136"/>
      <c r="IQ61"/>
      <c r="IR61"/>
      <c r="IS61"/>
      <c r="IT61"/>
      <c r="IU61"/>
      <c r="IV61"/>
    </row>
    <row r="62" spans="1:256" ht="84.75" hidden="1" customHeight="1">
      <c r="A62" s="440" t="s">
        <v>949</v>
      </c>
      <c r="B62" s="438" t="s">
        <v>1372</v>
      </c>
      <c r="C62" s="440" t="s">
        <v>907</v>
      </c>
      <c r="D62" s="678"/>
      <c r="E62" s="619"/>
      <c r="F62" s="439"/>
      <c r="G62" s="136"/>
      <c r="IQ62"/>
      <c r="IR62"/>
      <c r="IS62"/>
      <c r="IT62"/>
      <c r="IU62"/>
      <c r="IV62"/>
    </row>
    <row r="63" spans="1:256" ht="81.75" hidden="1" customHeight="1">
      <c r="A63" s="440" t="s">
        <v>950</v>
      </c>
      <c r="B63" s="438" t="s">
        <v>947</v>
      </c>
      <c r="C63" s="440" t="s">
        <v>907</v>
      </c>
      <c r="D63" s="678"/>
      <c r="E63" s="619"/>
      <c r="F63" s="439"/>
      <c r="G63" s="136"/>
      <c r="IQ63"/>
      <c r="IR63"/>
      <c r="IS63"/>
      <c r="IT63"/>
      <c r="IU63"/>
      <c r="IV63"/>
    </row>
    <row r="64" spans="1:256" ht="74.25" hidden="1" customHeight="1">
      <c r="A64" s="440" t="s">
        <v>951</v>
      </c>
      <c r="B64" s="438" t="s">
        <v>1375</v>
      </c>
      <c r="C64" s="440" t="s">
        <v>907</v>
      </c>
      <c r="D64" s="671"/>
      <c r="E64" s="619"/>
      <c r="F64" s="439"/>
      <c r="G64" s="136"/>
      <c r="IQ64"/>
      <c r="IR64"/>
      <c r="IS64"/>
      <c r="IT64"/>
      <c r="IU64"/>
      <c r="IV64"/>
    </row>
    <row r="65" spans="1:256" ht="68.25" hidden="1" customHeight="1">
      <c r="A65" s="440" t="s">
        <v>952</v>
      </c>
      <c r="B65" s="593" t="s">
        <v>1373</v>
      </c>
      <c r="C65" s="440" t="s">
        <v>907</v>
      </c>
      <c r="D65" s="671"/>
      <c r="E65" s="619"/>
      <c r="F65" s="439"/>
      <c r="G65" s="136"/>
      <c r="IQ65"/>
      <c r="IR65"/>
      <c r="IS65"/>
      <c r="IT65"/>
      <c r="IU65"/>
      <c r="IV65"/>
    </row>
    <row r="66" spans="1:256" ht="73.5" hidden="1" customHeight="1">
      <c r="A66" s="565" t="s">
        <v>1186</v>
      </c>
      <c r="B66" s="593" t="s">
        <v>1187</v>
      </c>
      <c r="C66" s="566" t="s">
        <v>907</v>
      </c>
      <c r="D66" s="673"/>
      <c r="E66" s="622"/>
      <c r="F66" s="568"/>
      <c r="G66" s="136"/>
      <c r="IQ66"/>
      <c r="IR66"/>
      <c r="IS66"/>
      <c r="IT66"/>
      <c r="IU66"/>
      <c r="IV66"/>
    </row>
    <row r="67" spans="1:256" ht="49.5" hidden="1" customHeight="1">
      <c r="A67" s="565" t="s">
        <v>1188</v>
      </c>
      <c r="B67" s="593" t="s">
        <v>1392</v>
      </c>
      <c r="C67" s="566" t="s">
        <v>907</v>
      </c>
      <c r="D67" s="673"/>
      <c r="E67" s="622"/>
      <c r="F67" s="568"/>
      <c r="G67" s="136"/>
      <c r="IQ67"/>
      <c r="IR67"/>
      <c r="IS67"/>
      <c r="IT67"/>
      <c r="IU67"/>
      <c r="IV67"/>
    </row>
    <row r="68" spans="1:256" ht="79.5" hidden="1" customHeight="1">
      <c r="A68" s="565" t="s">
        <v>1189</v>
      </c>
      <c r="B68" s="593" t="s">
        <v>1190</v>
      </c>
      <c r="C68" s="566" t="s">
        <v>907</v>
      </c>
      <c r="D68" s="673"/>
      <c r="E68" s="622"/>
      <c r="F68" s="568"/>
      <c r="G68" s="136"/>
      <c r="IQ68"/>
      <c r="IR68"/>
      <c r="IS68"/>
      <c r="IT68"/>
      <c r="IU68"/>
      <c r="IV68"/>
    </row>
    <row r="69" spans="1:256" ht="79.5" hidden="1" customHeight="1">
      <c r="A69" s="565" t="s">
        <v>1363</v>
      </c>
      <c r="B69" s="593" t="s">
        <v>1374</v>
      </c>
      <c r="C69" s="566" t="s">
        <v>907</v>
      </c>
      <c r="D69" s="673"/>
      <c r="E69" s="622"/>
      <c r="F69" s="568"/>
      <c r="G69" s="136"/>
      <c r="IQ69"/>
      <c r="IR69"/>
      <c r="IS69"/>
      <c r="IT69"/>
      <c r="IU69"/>
      <c r="IV69"/>
    </row>
    <row r="70" spans="1:256" ht="79.5" hidden="1" customHeight="1">
      <c r="A70" s="565" t="s">
        <v>1364</v>
      </c>
      <c r="B70" s="438" t="s">
        <v>1376</v>
      </c>
      <c r="C70" s="566" t="s">
        <v>907</v>
      </c>
      <c r="D70" s="673"/>
      <c r="E70" s="622"/>
      <c r="F70" s="568"/>
      <c r="G70" s="136"/>
      <c r="IQ70"/>
      <c r="IR70"/>
      <c r="IS70"/>
      <c r="IT70"/>
      <c r="IU70"/>
      <c r="IV70"/>
    </row>
    <row r="71" spans="1:256" ht="79.5" hidden="1" customHeight="1">
      <c r="A71" s="565" t="s">
        <v>1369</v>
      </c>
      <c r="B71" s="438" t="s">
        <v>1377</v>
      </c>
      <c r="C71" s="440" t="s">
        <v>907</v>
      </c>
      <c r="D71" s="673"/>
      <c r="E71" s="622"/>
      <c r="F71" s="568"/>
      <c r="G71" s="136"/>
      <c r="IQ71"/>
      <c r="IR71"/>
      <c r="IS71"/>
      <c r="IT71"/>
      <c r="IU71"/>
      <c r="IV71"/>
    </row>
    <row r="72" spans="1:256" ht="79.5" hidden="1" customHeight="1">
      <c r="A72" s="565" t="s">
        <v>1370</v>
      </c>
      <c r="B72" s="593" t="s">
        <v>1367</v>
      </c>
      <c r="C72" s="440" t="s">
        <v>907</v>
      </c>
      <c r="D72" s="673"/>
      <c r="E72" s="622"/>
      <c r="F72" s="568"/>
      <c r="G72" s="136"/>
      <c r="IQ72"/>
      <c r="IR72"/>
      <c r="IS72"/>
      <c r="IT72"/>
      <c r="IU72"/>
      <c r="IV72"/>
    </row>
    <row r="73" spans="1:256" ht="79.5" hidden="1" customHeight="1">
      <c r="A73" s="565" t="s">
        <v>1371</v>
      </c>
      <c r="B73" s="593" t="s">
        <v>1368</v>
      </c>
      <c r="C73" s="440" t="s">
        <v>907</v>
      </c>
      <c r="D73" s="673"/>
      <c r="E73" s="622"/>
      <c r="F73" s="568"/>
      <c r="G73" s="136"/>
      <c r="IQ73"/>
      <c r="IR73"/>
      <c r="IS73"/>
      <c r="IT73"/>
      <c r="IU73"/>
      <c r="IV73"/>
    </row>
    <row r="74" spans="1:256" ht="27.75" hidden="1" customHeight="1">
      <c r="A74" s="793" t="s">
        <v>1191</v>
      </c>
      <c r="B74" s="793"/>
      <c r="C74" s="793"/>
      <c r="D74" s="793"/>
      <c r="E74" s="793"/>
      <c r="F74" s="793"/>
      <c r="G74" s="136"/>
      <c r="IQ74"/>
      <c r="IR74"/>
      <c r="IS74"/>
      <c r="IT74"/>
      <c r="IU74"/>
      <c r="IV74"/>
    </row>
    <row r="75" spans="1:256" ht="60.75" hidden="1" customHeight="1">
      <c r="A75" s="440" t="s">
        <v>565</v>
      </c>
      <c r="B75" s="569" t="s">
        <v>1384</v>
      </c>
      <c r="C75" s="440" t="s">
        <v>1192</v>
      </c>
      <c r="D75" s="679"/>
      <c r="E75" s="654"/>
      <c r="F75" s="654"/>
      <c r="G75" s="136"/>
      <c r="IQ75"/>
      <c r="IR75"/>
      <c r="IS75"/>
      <c r="IT75"/>
      <c r="IU75"/>
      <c r="IV75"/>
    </row>
    <row r="76" spans="1:256" ht="65.25" hidden="1" customHeight="1">
      <c r="A76" s="440" t="s">
        <v>1092</v>
      </c>
      <c r="B76" s="569" t="s">
        <v>1389</v>
      </c>
      <c r="C76" s="440" t="s">
        <v>1192</v>
      </c>
      <c r="D76" s="679"/>
      <c r="E76" s="623"/>
      <c r="F76" s="654"/>
      <c r="G76" s="136"/>
      <c r="IQ76"/>
      <c r="IR76"/>
      <c r="IS76"/>
      <c r="IT76"/>
      <c r="IU76"/>
      <c r="IV76"/>
    </row>
    <row r="77" spans="1:256" ht="26.25" hidden="1" customHeight="1">
      <c r="A77" s="798" t="s">
        <v>913</v>
      </c>
      <c r="B77" s="799"/>
      <c r="C77" s="799"/>
      <c r="D77" s="799"/>
      <c r="E77" s="799"/>
      <c r="F77" s="800"/>
      <c r="G77" s="136"/>
      <c r="IQ77"/>
      <c r="IR77"/>
      <c r="IS77"/>
      <c r="IT77"/>
      <c r="IU77"/>
      <c r="IV77"/>
    </row>
    <row r="78" spans="1:256" ht="59.25" hidden="1" customHeight="1">
      <c r="A78" s="440" t="s">
        <v>24</v>
      </c>
      <c r="B78" s="569" t="s">
        <v>1193</v>
      </c>
      <c r="C78" s="440" t="s">
        <v>742</v>
      </c>
      <c r="D78" s="678"/>
      <c r="E78" s="623"/>
      <c r="F78" s="654"/>
      <c r="G78" s="136"/>
      <c r="IQ78"/>
      <c r="IR78"/>
      <c r="IS78"/>
      <c r="IT78"/>
      <c r="IU78"/>
      <c r="IV78"/>
    </row>
    <row r="79" spans="1:256" ht="58.5" hidden="1" customHeight="1">
      <c r="A79" s="440" t="s">
        <v>916</v>
      </c>
      <c r="B79" s="569" t="s">
        <v>1194</v>
      </c>
      <c r="C79" s="455" t="s">
        <v>742</v>
      </c>
      <c r="D79" s="678"/>
      <c r="E79" s="623"/>
      <c r="F79" s="654"/>
      <c r="G79" s="136"/>
      <c r="IQ79"/>
      <c r="IR79"/>
      <c r="IS79"/>
      <c r="IT79"/>
      <c r="IU79"/>
      <c r="IV79"/>
    </row>
    <row r="80" spans="1:256" ht="57.75" hidden="1" customHeight="1">
      <c r="A80" s="440" t="s">
        <v>917</v>
      </c>
      <c r="B80" s="569" t="s">
        <v>1195</v>
      </c>
      <c r="C80" s="440" t="s">
        <v>742</v>
      </c>
      <c r="D80" s="678"/>
      <c r="E80" s="623"/>
      <c r="F80" s="654"/>
      <c r="G80" s="136"/>
      <c r="IQ80"/>
      <c r="IR80"/>
      <c r="IS80"/>
      <c r="IT80"/>
      <c r="IU80"/>
      <c r="IV80"/>
    </row>
    <row r="81" spans="1:256" ht="64.5" hidden="1" customHeight="1">
      <c r="A81" s="440" t="s">
        <v>918</v>
      </c>
      <c r="B81" s="569" t="s">
        <v>1196</v>
      </c>
      <c r="C81" s="440" t="s">
        <v>742</v>
      </c>
      <c r="D81" s="678"/>
      <c r="E81" s="623"/>
      <c r="F81" s="654"/>
      <c r="G81" s="136"/>
      <c r="IQ81"/>
      <c r="IR81"/>
      <c r="IS81"/>
      <c r="IT81"/>
      <c r="IU81"/>
      <c r="IV81"/>
    </row>
    <row r="82" spans="1:256" ht="66" hidden="1" customHeight="1">
      <c r="A82" s="440" t="s">
        <v>920</v>
      </c>
      <c r="B82" s="571" t="s">
        <v>919</v>
      </c>
      <c r="C82" s="440" t="s">
        <v>742</v>
      </c>
      <c r="D82" s="678"/>
      <c r="E82" s="623"/>
      <c r="F82" s="654"/>
      <c r="G82" s="136"/>
      <c r="IQ82"/>
      <c r="IR82"/>
      <c r="IS82"/>
      <c r="IT82"/>
      <c r="IU82"/>
      <c r="IV82"/>
    </row>
    <row r="83" spans="1:256" ht="23.25" hidden="1" customHeight="1">
      <c r="A83" s="793" t="s">
        <v>914</v>
      </c>
      <c r="B83" s="793"/>
      <c r="C83" s="793"/>
      <c r="D83" s="793"/>
      <c r="E83" s="793"/>
      <c r="F83" s="793"/>
      <c r="G83" s="136"/>
      <c r="IQ83"/>
      <c r="IR83"/>
      <c r="IS83"/>
      <c r="IT83"/>
      <c r="IU83"/>
      <c r="IV83"/>
    </row>
    <row r="84" spans="1:256" ht="84.75" hidden="1" customHeight="1">
      <c r="A84" s="440" t="s">
        <v>921</v>
      </c>
      <c r="B84" s="571" t="s">
        <v>922</v>
      </c>
      <c r="C84" s="440" t="s">
        <v>742</v>
      </c>
      <c r="D84" s="678"/>
      <c r="E84" s="623"/>
      <c r="F84" s="654"/>
      <c r="G84" s="136"/>
      <c r="IQ84"/>
      <c r="IR84"/>
      <c r="IS84"/>
      <c r="IT84"/>
      <c r="IU84"/>
      <c r="IV84"/>
    </row>
    <row r="85" spans="1:256" ht="95.25" hidden="1" customHeight="1">
      <c r="A85" s="440" t="s">
        <v>925</v>
      </c>
      <c r="B85" s="571" t="s">
        <v>923</v>
      </c>
      <c r="C85" s="440" t="s">
        <v>742</v>
      </c>
      <c r="D85" s="678"/>
      <c r="E85" s="623"/>
      <c r="F85" s="654"/>
      <c r="G85" s="136"/>
      <c r="IQ85"/>
      <c r="IR85"/>
      <c r="IS85"/>
      <c r="IT85"/>
      <c r="IU85"/>
      <c r="IV85"/>
    </row>
    <row r="86" spans="1:256" ht="26.25" hidden="1" customHeight="1">
      <c r="A86" s="793" t="s">
        <v>915</v>
      </c>
      <c r="B86" s="793"/>
      <c r="C86" s="793"/>
      <c r="D86" s="793"/>
      <c r="E86" s="793"/>
      <c r="F86" s="793"/>
      <c r="G86" s="136"/>
      <c r="IQ86"/>
      <c r="IR86"/>
      <c r="IS86"/>
      <c r="IT86"/>
      <c r="IU86"/>
      <c r="IV86"/>
    </row>
    <row r="87" spans="1:256" ht="81.75" hidden="1" customHeight="1">
      <c r="A87" s="440" t="s">
        <v>924</v>
      </c>
      <c r="B87" s="571" t="s">
        <v>1197</v>
      </c>
      <c r="C87" s="440" t="s">
        <v>742</v>
      </c>
      <c r="D87" s="678"/>
      <c r="E87" s="623"/>
      <c r="F87" s="654"/>
      <c r="G87" s="136"/>
      <c r="IQ87"/>
      <c r="IR87"/>
      <c r="IS87"/>
      <c r="IT87"/>
      <c r="IU87"/>
      <c r="IV87"/>
    </row>
    <row r="88" spans="1:256" ht="87" hidden="1" customHeight="1">
      <c r="A88" s="440" t="s">
        <v>926</v>
      </c>
      <c r="B88" s="571" t="s">
        <v>1198</v>
      </c>
      <c r="C88" s="440" t="s">
        <v>742</v>
      </c>
      <c r="D88" s="678"/>
      <c r="E88" s="623"/>
      <c r="F88" s="654"/>
      <c r="IQ88"/>
      <c r="IR88"/>
      <c r="IS88"/>
      <c r="IT88"/>
      <c r="IU88"/>
      <c r="IV88"/>
    </row>
    <row r="89" spans="1:256" ht="72.75" hidden="1" customHeight="1">
      <c r="A89" s="440" t="s">
        <v>927</v>
      </c>
      <c r="B89" s="571" t="s">
        <v>1199</v>
      </c>
      <c r="C89" s="440" t="s">
        <v>742</v>
      </c>
      <c r="D89" s="678"/>
      <c r="E89" s="623"/>
      <c r="F89" s="654"/>
      <c r="IQ89"/>
      <c r="IR89"/>
      <c r="IS89"/>
      <c r="IT89"/>
      <c r="IU89"/>
      <c r="IV89"/>
    </row>
    <row r="90" spans="1:256" ht="66.75" hidden="1" customHeight="1">
      <c r="A90" s="440" t="s">
        <v>928</v>
      </c>
      <c r="B90" s="571" t="s">
        <v>1200</v>
      </c>
      <c r="C90" s="440" t="s">
        <v>742</v>
      </c>
      <c r="D90" s="678"/>
      <c r="E90" s="623"/>
      <c r="F90" s="654"/>
      <c r="IQ90"/>
      <c r="IR90"/>
      <c r="IS90"/>
      <c r="IT90"/>
      <c r="IU90"/>
      <c r="IV90"/>
    </row>
    <row r="91" spans="1:256" ht="83.25" hidden="1" customHeight="1">
      <c r="A91" s="440" t="s">
        <v>929</v>
      </c>
      <c r="B91" s="571" t="s">
        <v>1201</v>
      </c>
      <c r="C91" s="440" t="s">
        <v>742</v>
      </c>
      <c r="D91" s="678"/>
      <c r="E91" s="623"/>
      <c r="F91" s="654"/>
      <c r="IQ91"/>
      <c r="IR91"/>
      <c r="IS91"/>
      <c r="IT91"/>
      <c r="IU91"/>
      <c r="IV91"/>
    </row>
    <row r="92" spans="1:256" ht="22.5" customHeight="1">
      <c r="A92" s="794" t="s">
        <v>1202</v>
      </c>
      <c r="B92" s="794"/>
      <c r="C92" s="794"/>
      <c r="D92" s="794"/>
      <c r="E92" s="794"/>
      <c r="F92" s="793"/>
      <c r="IQ92"/>
      <c r="IR92"/>
      <c r="IS92"/>
      <c r="IT92"/>
      <c r="IU92"/>
      <c r="IV92"/>
    </row>
    <row r="93" spans="1:256" ht="106.5" customHeight="1">
      <c r="A93" s="571" t="s">
        <v>1049</v>
      </c>
      <c r="B93" s="569" t="s">
        <v>1203</v>
      </c>
      <c r="C93" s="572" t="s">
        <v>742</v>
      </c>
      <c r="D93" s="683">
        <v>1</v>
      </c>
      <c r="E93" s="622">
        <f>P.UNIT!F641</f>
        <v>862.7311740749999</v>
      </c>
      <c r="F93" s="662">
        <f>D93*E93</f>
        <v>862.7311740749999</v>
      </c>
      <c r="IQ93"/>
      <c r="IR93"/>
      <c r="IS93"/>
      <c r="IT93"/>
      <c r="IU93"/>
      <c r="IV93"/>
    </row>
    <row r="94" spans="1:256" ht="66" customHeight="1">
      <c r="A94" s="571" t="s">
        <v>1204</v>
      </c>
      <c r="B94" s="598" t="s">
        <v>1288</v>
      </c>
      <c r="C94" s="572" t="s">
        <v>742</v>
      </c>
      <c r="D94" s="684">
        <v>1</v>
      </c>
      <c r="E94" s="624">
        <f>P.UNIT!M641</f>
        <v>3254.0511740749998</v>
      </c>
      <c r="F94" s="662">
        <f t="shared" ref="F94:F96" si="6">D94*E94</f>
        <v>3254.0511740749998</v>
      </c>
      <c r="IQ94"/>
      <c r="IR94"/>
      <c r="IS94"/>
      <c r="IT94"/>
      <c r="IU94"/>
      <c r="IV94"/>
    </row>
    <row r="95" spans="1:256" ht="66" customHeight="1">
      <c r="A95" s="571" t="s">
        <v>1206</v>
      </c>
      <c r="B95" s="598" t="s">
        <v>1298</v>
      </c>
      <c r="C95" s="572" t="s">
        <v>742</v>
      </c>
      <c r="D95" s="684">
        <v>1</v>
      </c>
      <c r="E95" s="624">
        <f>P.UNIT!T641</f>
        <v>3835.9411740749997</v>
      </c>
      <c r="F95" s="662">
        <f t="shared" si="6"/>
        <v>3835.9411740749997</v>
      </c>
      <c r="IQ95"/>
      <c r="IR95"/>
      <c r="IS95"/>
      <c r="IT95"/>
      <c r="IU95"/>
      <c r="IV95"/>
    </row>
    <row r="96" spans="1:256" ht="51.75" customHeight="1">
      <c r="A96" s="571" t="s">
        <v>1207</v>
      </c>
      <c r="B96" s="598" t="s">
        <v>1208</v>
      </c>
      <c r="C96" s="572" t="s">
        <v>742</v>
      </c>
      <c r="D96" s="684">
        <v>1</v>
      </c>
      <c r="E96" s="624">
        <f>P.UNIT!AA641</f>
        <v>3577.2611740749999</v>
      </c>
      <c r="F96" s="662">
        <f t="shared" si="6"/>
        <v>3577.2611740749999</v>
      </c>
      <c r="IQ96"/>
      <c r="IR96"/>
      <c r="IS96"/>
      <c r="IT96"/>
      <c r="IU96"/>
      <c r="IV96"/>
    </row>
    <row r="97" spans="1:256" ht="51.75" customHeight="1">
      <c r="A97" s="786" t="s">
        <v>1467</v>
      </c>
      <c r="B97" s="787"/>
      <c r="C97" s="787"/>
      <c r="D97" s="787"/>
      <c r="E97" s="788"/>
      <c r="F97" s="663">
        <f>SUM(F93:F96)</f>
        <v>11529.9846963</v>
      </c>
      <c r="IQ97"/>
      <c r="IR97"/>
      <c r="IS97"/>
      <c r="IT97"/>
      <c r="IU97"/>
      <c r="IV97"/>
    </row>
    <row r="98" spans="1:256" ht="22.5" customHeight="1">
      <c r="A98" s="793" t="s">
        <v>1209</v>
      </c>
      <c r="B98" s="793"/>
      <c r="C98" s="793"/>
      <c r="D98" s="793"/>
      <c r="E98" s="793"/>
      <c r="F98" s="793"/>
      <c r="IQ98"/>
      <c r="IR98"/>
      <c r="IS98"/>
      <c r="IT98"/>
      <c r="IU98"/>
      <c r="IV98"/>
    </row>
    <row r="99" spans="1:256" ht="71.25" customHeight="1">
      <c r="A99" s="440" t="s">
        <v>1210</v>
      </c>
      <c r="B99" s="569" t="s">
        <v>1211</v>
      </c>
      <c r="C99" s="440" t="s">
        <v>742</v>
      </c>
      <c r="D99" s="685">
        <v>1</v>
      </c>
      <c r="E99" s="634">
        <f>P.UNIT!F686</f>
        <v>2816.959400745</v>
      </c>
      <c r="F99" s="664">
        <f>D99*E99</f>
        <v>2816.959400745</v>
      </c>
      <c r="IQ99"/>
      <c r="IR99"/>
      <c r="IS99"/>
      <c r="IT99"/>
      <c r="IU99"/>
      <c r="IV99"/>
    </row>
    <row r="100" spans="1:256" ht="54.75" customHeight="1">
      <c r="A100" s="440" t="s">
        <v>1212</v>
      </c>
      <c r="B100" s="569" t="s">
        <v>1213</v>
      </c>
      <c r="C100" s="440" t="s">
        <v>6</v>
      </c>
      <c r="D100" s="685">
        <v>74.02</v>
      </c>
      <c r="E100" s="634">
        <f>P.UNIT!M686</f>
        <v>100.19258785199999</v>
      </c>
      <c r="F100" s="664">
        <f>D100*E100</f>
        <v>7416.2553528050385</v>
      </c>
      <c r="IQ100"/>
      <c r="IR100"/>
      <c r="IS100"/>
      <c r="IT100"/>
      <c r="IU100"/>
      <c r="IV100"/>
    </row>
    <row r="101" spans="1:256" ht="54.75" customHeight="1">
      <c r="A101" s="786" t="s">
        <v>1468</v>
      </c>
      <c r="B101" s="787"/>
      <c r="C101" s="787"/>
      <c r="D101" s="787"/>
      <c r="E101" s="788"/>
      <c r="F101" s="663">
        <f>SUM(F99:F100)</f>
        <v>10233.214753550039</v>
      </c>
      <c r="IQ101"/>
      <c r="IR101"/>
      <c r="IS101"/>
      <c r="IT101"/>
      <c r="IU101"/>
      <c r="IV101"/>
    </row>
    <row r="102" spans="1:256" ht="19.5" customHeight="1">
      <c r="A102" s="801" t="s">
        <v>954</v>
      </c>
      <c r="B102" s="801"/>
      <c r="C102" s="801"/>
      <c r="D102" s="801"/>
      <c r="E102" s="801"/>
      <c r="F102" s="801"/>
      <c r="IQ102"/>
      <c r="IR102"/>
      <c r="IS102"/>
      <c r="IT102"/>
      <c r="IU102"/>
      <c r="IV102"/>
    </row>
    <row r="103" spans="1:256" ht="22.5" customHeight="1">
      <c r="A103" s="793" t="s">
        <v>884</v>
      </c>
      <c r="B103" s="793"/>
      <c r="C103" s="793"/>
      <c r="D103" s="793"/>
      <c r="E103" s="793"/>
      <c r="F103" s="793"/>
      <c r="IQ103"/>
      <c r="IR103"/>
      <c r="IS103"/>
      <c r="IT103"/>
      <c r="IU103"/>
      <c r="IV103"/>
    </row>
    <row r="104" spans="1:256" ht="93" customHeight="1">
      <c r="A104" s="441" t="s">
        <v>7</v>
      </c>
      <c r="B104" s="435" t="s">
        <v>880</v>
      </c>
      <c r="C104" s="441" t="s">
        <v>6</v>
      </c>
      <c r="D104" s="672">
        <v>74.19</v>
      </c>
      <c r="E104" s="619">
        <f>P.UNIT!M458</f>
        <v>294.34874794500001</v>
      </c>
      <c r="F104" s="439">
        <f>D104*E104</f>
        <v>21837.733610039551</v>
      </c>
      <c r="IQ104"/>
      <c r="IR104"/>
      <c r="IS104"/>
      <c r="IT104"/>
      <c r="IU104"/>
      <c r="IV104"/>
    </row>
    <row r="105" spans="1:256" ht="111.75" customHeight="1">
      <c r="A105" s="441" t="s">
        <v>881</v>
      </c>
      <c r="B105" s="435" t="s">
        <v>882</v>
      </c>
      <c r="C105" s="441" t="s">
        <v>6</v>
      </c>
      <c r="D105" s="672">
        <v>50.96</v>
      </c>
      <c r="E105" s="619">
        <f>P.UNIT!T457</f>
        <v>540.73007557463222</v>
      </c>
      <c r="F105" s="439">
        <f t="shared" ref="F105:F108" si="7">D105*E105</f>
        <v>27555.604651283258</v>
      </c>
      <c r="IQ105"/>
      <c r="IR105"/>
      <c r="IS105"/>
      <c r="IT105"/>
      <c r="IU105"/>
      <c r="IV105"/>
    </row>
    <row r="106" spans="1:256" ht="79.5" customHeight="1">
      <c r="A106" s="440" t="s">
        <v>886</v>
      </c>
      <c r="B106" s="435" t="s">
        <v>1214</v>
      </c>
      <c r="C106" s="441" t="s">
        <v>6</v>
      </c>
      <c r="D106" s="671">
        <v>10.79</v>
      </c>
      <c r="E106" s="619">
        <f>P.UNIT!AA458</f>
        <v>1129.4669880856231</v>
      </c>
      <c r="F106" s="439">
        <f t="shared" si="7"/>
        <v>12186.948801443872</v>
      </c>
      <c r="IQ106"/>
      <c r="IR106"/>
      <c r="IS106"/>
      <c r="IT106"/>
      <c r="IU106"/>
      <c r="IV106"/>
    </row>
    <row r="107" spans="1:256" ht="79.5" customHeight="1">
      <c r="A107" s="246" t="s">
        <v>835</v>
      </c>
      <c r="B107" s="438" t="s">
        <v>1182</v>
      </c>
      <c r="C107" s="246" t="s">
        <v>6</v>
      </c>
      <c r="D107" s="672">
        <v>193.12</v>
      </c>
      <c r="E107" s="619">
        <f>P.UNIT!AH503</f>
        <v>62.687890439908763</v>
      </c>
      <c r="F107" s="660">
        <f t="shared" si="7"/>
        <v>12106.28540175518</v>
      </c>
      <c r="IQ107"/>
      <c r="IR107"/>
      <c r="IS107"/>
      <c r="IT107"/>
      <c r="IU107"/>
      <c r="IV107"/>
    </row>
    <row r="108" spans="1:256" ht="79.5" customHeight="1">
      <c r="A108" s="441" t="s">
        <v>1483</v>
      </c>
      <c r="B108" s="551" t="s">
        <v>1234</v>
      </c>
      <c r="C108" s="441" t="s">
        <v>294</v>
      </c>
      <c r="D108" s="576"/>
      <c r="E108" s="620">
        <f>P.UNIT!AV457</f>
        <v>688.94936050289812</v>
      </c>
      <c r="F108" s="660">
        <f t="shared" si="7"/>
        <v>0</v>
      </c>
      <c r="IQ108"/>
      <c r="IR108"/>
      <c r="IS108"/>
      <c r="IT108"/>
      <c r="IU108"/>
      <c r="IV108"/>
    </row>
    <row r="109" spans="1:256" ht="79.5" customHeight="1">
      <c r="A109" s="246" t="s">
        <v>966</v>
      </c>
      <c r="B109" s="551" t="s">
        <v>1235</v>
      </c>
      <c r="C109" s="441" t="s">
        <v>742</v>
      </c>
      <c r="D109" s="672">
        <v>31.85</v>
      </c>
      <c r="E109" s="620">
        <f>P.UNIT!BC457</f>
        <v>712.62300036316401</v>
      </c>
      <c r="F109" s="660">
        <f>D109*E109</f>
        <v>22697.042561566774</v>
      </c>
      <c r="IQ109"/>
      <c r="IR109"/>
      <c r="IS109"/>
      <c r="IT109"/>
      <c r="IU109"/>
      <c r="IV109"/>
    </row>
    <row r="110" spans="1:256" ht="79.5" customHeight="1">
      <c r="A110" s="246" t="s">
        <v>967</v>
      </c>
      <c r="B110" s="551" t="s">
        <v>1236</v>
      </c>
      <c r="C110" s="246" t="s">
        <v>742</v>
      </c>
      <c r="D110" s="672">
        <v>53.9</v>
      </c>
      <c r="E110" s="620">
        <f>P.UNIT!BJ457</f>
        <v>864.87801705209847</v>
      </c>
      <c r="F110" s="660">
        <f>D110*E110</f>
        <v>46616.925119108106</v>
      </c>
      <c r="IQ110"/>
      <c r="IR110"/>
      <c r="IS110"/>
      <c r="IT110"/>
      <c r="IU110"/>
      <c r="IV110"/>
    </row>
    <row r="111" spans="1:256" ht="79.5" customHeight="1">
      <c r="A111" s="786" t="s">
        <v>1469</v>
      </c>
      <c r="B111" s="787"/>
      <c r="C111" s="787"/>
      <c r="D111" s="787"/>
      <c r="E111" s="788"/>
      <c r="F111" s="661">
        <f>SUM(F104,F105,F106)</f>
        <v>61580.287062766685</v>
      </c>
      <c r="IQ111"/>
      <c r="IR111"/>
      <c r="IS111"/>
      <c r="IT111"/>
      <c r="IU111"/>
      <c r="IV111"/>
    </row>
    <row r="112" spans="1:256" ht="18" customHeight="1">
      <c r="A112" s="793" t="s">
        <v>872</v>
      </c>
      <c r="B112" s="793"/>
      <c r="C112" s="793"/>
      <c r="D112" s="793"/>
      <c r="E112" s="793"/>
      <c r="F112" s="793"/>
      <c r="IQ112"/>
      <c r="IR112"/>
      <c r="IS112"/>
      <c r="IT112"/>
      <c r="IU112"/>
      <c r="IV112"/>
    </row>
    <row r="113" spans="1:256" ht="75.75" customHeight="1">
      <c r="A113" s="246" t="s">
        <v>52</v>
      </c>
      <c r="B113" s="438" t="s">
        <v>1215</v>
      </c>
      <c r="C113" s="246" t="s">
        <v>6</v>
      </c>
      <c r="D113" s="672">
        <v>8.25</v>
      </c>
      <c r="E113" s="619">
        <f>P.UNIT!F503</f>
        <v>340.95284653636355</v>
      </c>
      <c r="F113" s="660">
        <f>D113*E113</f>
        <v>2812.8609839249993</v>
      </c>
      <c r="IQ113"/>
      <c r="IR113"/>
      <c r="IS113"/>
      <c r="IT113"/>
      <c r="IU113"/>
      <c r="IV113"/>
    </row>
    <row r="114" spans="1:256" ht="81" customHeight="1">
      <c r="A114" s="246" t="s">
        <v>54</v>
      </c>
      <c r="B114" s="247" t="s">
        <v>830</v>
      </c>
      <c r="C114" s="246" t="s">
        <v>6</v>
      </c>
      <c r="D114" s="672">
        <v>35.83</v>
      </c>
      <c r="E114" s="619">
        <f>P.UNIT!M503</f>
        <v>204.90996547333333</v>
      </c>
      <c r="F114" s="660">
        <f t="shared" ref="F114:F121" si="8">D114*E114</f>
        <v>7341.9240629095329</v>
      </c>
      <c r="IQ114"/>
      <c r="IR114"/>
      <c r="IS114"/>
      <c r="IT114"/>
      <c r="IU114"/>
      <c r="IV114"/>
    </row>
    <row r="115" spans="1:256" ht="59.25" hidden="1" customHeight="1">
      <c r="A115" s="246" t="s">
        <v>831</v>
      </c>
      <c r="B115" s="247" t="s">
        <v>832</v>
      </c>
      <c r="C115" s="246" t="s">
        <v>294</v>
      </c>
      <c r="D115" s="672"/>
      <c r="E115" s="619">
        <f>P.UNIT!T503</f>
        <v>76.146884179999986</v>
      </c>
      <c r="F115" s="660">
        <f t="shared" si="8"/>
        <v>0</v>
      </c>
      <c r="IQ115"/>
      <c r="IR115"/>
      <c r="IS115"/>
      <c r="IT115"/>
      <c r="IU115"/>
      <c r="IV115"/>
    </row>
    <row r="116" spans="1:256" ht="64.5" customHeight="1">
      <c r="A116" s="437" t="s">
        <v>834</v>
      </c>
      <c r="B116" s="438" t="s">
        <v>908</v>
      </c>
      <c r="C116" s="246" t="s">
        <v>6</v>
      </c>
      <c r="D116" s="672">
        <v>117.53</v>
      </c>
      <c r="E116" s="619">
        <f>P.UNIT!AA503</f>
        <v>74.673655033703696</v>
      </c>
      <c r="F116" s="439">
        <f t="shared" si="8"/>
        <v>8776.3946761111947</v>
      </c>
      <c r="IQ116"/>
      <c r="IR116"/>
      <c r="IS116"/>
      <c r="IT116"/>
      <c r="IU116"/>
      <c r="IV116"/>
    </row>
    <row r="117" spans="1:256" ht="102" customHeight="1">
      <c r="A117" s="246" t="s">
        <v>835</v>
      </c>
      <c r="B117" s="438" t="s">
        <v>874</v>
      </c>
      <c r="C117" s="246" t="s">
        <v>6</v>
      </c>
      <c r="D117" s="672">
        <v>117.53</v>
      </c>
      <c r="E117" s="619">
        <f>P.UNIT!AH503</f>
        <v>62.687890439908763</v>
      </c>
      <c r="F117" s="439">
        <f t="shared" si="8"/>
        <v>7367.7077634024772</v>
      </c>
      <c r="IQ117"/>
      <c r="IR117"/>
      <c r="IS117"/>
      <c r="IT117"/>
      <c r="IU117"/>
      <c r="IV117"/>
    </row>
    <row r="118" spans="1:256" ht="69.75" hidden="1" customHeight="1">
      <c r="A118" s="437" t="s">
        <v>836</v>
      </c>
      <c r="B118" s="247" t="s">
        <v>909</v>
      </c>
      <c r="C118" s="246" t="s">
        <v>6</v>
      </c>
      <c r="D118" s="576"/>
      <c r="E118" s="619">
        <f>P.UNIT!AO503</f>
        <v>104.29058530041665</v>
      </c>
      <c r="F118" s="439">
        <f t="shared" si="8"/>
        <v>0</v>
      </c>
      <c r="IQ118"/>
      <c r="IR118"/>
      <c r="IS118"/>
      <c r="IT118"/>
      <c r="IU118"/>
      <c r="IV118"/>
    </row>
    <row r="119" spans="1:256" ht="81" hidden="1" customHeight="1">
      <c r="A119" s="246" t="s">
        <v>837</v>
      </c>
      <c r="B119" s="438" t="s">
        <v>871</v>
      </c>
      <c r="C119" s="246" t="s">
        <v>6</v>
      </c>
      <c r="D119" s="576"/>
      <c r="E119" s="619">
        <f>P.UNIT!AV503</f>
        <v>115.59370170392543</v>
      </c>
      <c r="F119" s="439">
        <f>D119*E119</f>
        <v>0</v>
      </c>
      <c r="G119" s="562"/>
      <c r="IQ119"/>
      <c r="IR119"/>
      <c r="IS119"/>
      <c r="IT119"/>
      <c r="IU119"/>
      <c r="IV119"/>
    </row>
    <row r="120" spans="1:256" ht="78" hidden="1" customHeight="1">
      <c r="A120" s="246" t="s">
        <v>838</v>
      </c>
      <c r="B120" s="247" t="s">
        <v>839</v>
      </c>
      <c r="C120" s="246" t="s">
        <v>6</v>
      </c>
      <c r="D120" s="576"/>
      <c r="E120" s="619">
        <f>P.UNIT!BC503</f>
        <v>115.59370170392543</v>
      </c>
      <c r="F120" s="439">
        <f t="shared" si="8"/>
        <v>0</v>
      </c>
      <c r="IQ120"/>
      <c r="IR120"/>
      <c r="IS120"/>
      <c r="IT120"/>
      <c r="IU120"/>
      <c r="IV120"/>
    </row>
    <row r="121" spans="1:256" ht="79.5" hidden="1" customHeight="1">
      <c r="A121" s="246" t="s">
        <v>841</v>
      </c>
      <c r="B121" s="438" t="s">
        <v>866</v>
      </c>
      <c r="C121" s="246" t="s">
        <v>6</v>
      </c>
      <c r="D121" s="677" t="s">
        <v>1177</v>
      </c>
      <c r="E121" s="619">
        <f>P.UNIT!BQ503</f>
        <v>354.23374960636357</v>
      </c>
      <c r="F121" s="439" t="e">
        <f t="shared" si="8"/>
        <v>#VALUE!</v>
      </c>
      <c r="IQ121"/>
      <c r="IR121"/>
      <c r="IS121"/>
      <c r="IT121"/>
      <c r="IU121"/>
      <c r="IV121"/>
    </row>
    <row r="122" spans="1:256" ht="98.25" hidden="1" customHeight="1">
      <c r="A122" s="246" t="s">
        <v>842</v>
      </c>
      <c r="B122" s="438" t="s">
        <v>867</v>
      </c>
      <c r="C122" s="246" t="s">
        <v>6</v>
      </c>
      <c r="D122" s="677" t="s">
        <v>1177</v>
      </c>
      <c r="E122" s="619">
        <f>P.UNIT!BX503</f>
        <v>222.35445346999998</v>
      </c>
      <c r="F122" s="439" t="e">
        <f>D122*E122</f>
        <v>#VALUE!</v>
      </c>
      <c r="IQ122"/>
      <c r="IR122"/>
      <c r="IS122"/>
      <c r="IT122"/>
      <c r="IU122"/>
      <c r="IV122"/>
    </row>
    <row r="123" spans="1:256" ht="98.25" customHeight="1">
      <c r="A123" s="783" t="s">
        <v>1464</v>
      </c>
      <c r="B123" s="784"/>
      <c r="C123" s="784"/>
      <c r="D123" s="784"/>
      <c r="E123" s="785"/>
      <c r="F123" s="661">
        <f>SUM(F113,F114,F116,F117)</f>
        <v>26298.887486348205</v>
      </c>
      <c r="IQ123"/>
      <c r="IR123"/>
      <c r="IS123"/>
      <c r="IT123"/>
      <c r="IU123"/>
      <c r="IV123"/>
    </row>
    <row r="124" spans="1:256" ht="26.25" customHeight="1">
      <c r="A124" s="797" t="s">
        <v>1259</v>
      </c>
      <c r="B124" s="793"/>
      <c r="C124" s="793"/>
      <c r="D124" s="793"/>
      <c r="E124" s="793"/>
      <c r="F124" s="793"/>
      <c r="IQ124"/>
      <c r="IR124"/>
      <c r="IS124"/>
      <c r="IT124"/>
      <c r="IU124"/>
      <c r="IV124"/>
    </row>
    <row r="125" spans="1:256" ht="87.75" customHeight="1">
      <c r="A125" s="440" t="s">
        <v>1033</v>
      </c>
      <c r="B125" s="438" t="s">
        <v>876</v>
      </c>
      <c r="C125" s="246" t="s">
        <v>907</v>
      </c>
      <c r="D125" s="671">
        <v>1</v>
      </c>
      <c r="E125" s="619">
        <f>P.UNIT!F551</f>
        <v>1663.4021566594713</v>
      </c>
      <c r="F125" s="439">
        <f>D125*E125</f>
        <v>1663.4021566594713</v>
      </c>
      <c r="IQ125"/>
      <c r="IR125"/>
      <c r="IS125"/>
      <c r="IT125"/>
      <c r="IU125"/>
      <c r="IV125"/>
    </row>
    <row r="126" spans="1:256" ht="86.25" customHeight="1">
      <c r="A126" s="440" t="s">
        <v>1062</v>
      </c>
      <c r="B126" s="438" t="s">
        <v>910</v>
      </c>
      <c r="C126" s="440" t="s">
        <v>907</v>
      </c>
      <c r="D126" s="671">
        <v>1</v>
      </c>
      <c r="E126" s="619">
        <f>P.UNIT!M551</f>
        <v>1272.9052694348018</v>
      </c>
      <c r="F126" s="439">
        <f t="shared" ref="F126" si="9">D126*E126</f>
        <v>1272.9052694348018</v>
      </c>
      <c r="IQ126"/>
      <c r="IR126"/>
      <c r="IS126"/>
      <c r="IT126"/>
      <c r="IU126"/>
      <c r="IV126"/>
    </row>
    <row r="127" spans="1:256" ht="86.25" customHeight="1">
      <c r="A127" s="440" t="s">
        <v>1232</v>
      </c>
      <c r="B127" s="438" t="s">
        <v>955</v>
      </c>
      <c r="C127" s="440" t="s">
        <v>907</v>
      </c>
      <c r="D127" s="671">
        <v>1</v>
      </c>
      <c r="E127" s="620">
        <f>P.UNIT!AO596</f>
        <v>340.023011575</v>
      </c>
      <c r="F127" s="660">
        <f>D127*E127</f>
        <v>340.023011575</v>
      </c>
      <c r="IQ127"/>
      <c r="IR127"/>
      <c r="IS127"/>
      <c r="IT127"/>
      <c r="IU127"/>
      <c r="IV127"/>
    </row>
    <row r="128" spans="1:256" ht="86.25" customHeight="1">
      <c r="A128" s="786" t="s">
        <v>1465</v>
      </c>
      <c r="B128" s="787"/>
      <c r="C128" s="787"/>
      <c r="D128" s="787"/>
      <c r="E128" s="788"/>
      <c r="F128" s="661">
        <f>SUM(F127,F126,F125)</f>
        <v>3276.3304376692731</v>
      </c>
      <c r="IQ128"/>
      <c r="IR128"/>
      <c r="IS128"/>
      <c r="IT128"/>
      <c r="IU128"/>
      <c r="IV128"/>
    </row>
    <row r="129" spans="1:256" ht="24" customHeight="1">
      <c r="A129" s="793" t="s">
        <v>1226</v>
      </c>
      <c r="B129" s="793"/>
      <c r="C129" s="793"/>
      <c r="D129" s="793"/>
      <c r="E129" s="793"/>
      <c r="F129" s="793"/>
      <c r="IQ129"/>
      <c r="IR129"/>
      <c r="IS129"/>
      <c r="IT129"/>
      <c r="IU129"/>
      <c r="IV129"/>
    </row>
    <row r="130" spans="1:256" ht="86.25" customHeight="1">
      <c r="A130" s="440" t="s">
        <v>1048</v>
      </c>
      <c r="B130" s="561" t="s">
        <v>1227</v>
      </c>
      <c r="C130" s="440" t="s">
        <v>907</v>
      </c>
      <c r="D130" s="671">
        <v>1</v>
      </c>
      <c r="E130" s="619">
        <f>P.UNIT!F596</f>
        <v>336.66847157500001</v>
      </c>
      <c r="F130" s="619">
        <f>D130*E130</f>
        <v>336.66847157500001</v>
      </c>
      <c r="IQ130"/>
      <c r="IR130"/>
      <c r="IS130"/>
      <c r="IT130"/>
      <c r="IU130"/>
      <c r="IV130"/>
    </row>
    <row r="131" spans="1:256" ht="91.5" customHeight="1">
      <c r="A131" s="440" t="s">
        <v>1067</v>
      </c>
      <c r="B131" s="561" t="s">
        <v>1228</v>
      </c>
      <c r="C131" s="440" t="s">
        <v>907</v>
      </c>
      <c r="D131" s="671">
        <v>1</v>
      </c>
      <c r="E131" s="619">
        <f>P.UNIT!M596</f>
        <v>319.22041157499996</v>
      </c>
      <c r="F131" s="619">
        <f>D131*E131</f>
        <v>319.22041157499996</v>
      </c>
      <c r="IQ131"/>
      <c r="IR131"/>
      <c r="IS131"/>
      <c r="IT131"/>
      <c r="IU131"/>
      <c r="IV131"/>
    </row>
    <row r="132" spans="1:256" ht="91.5" customHeight="1">
      <c r="A132" s="789" t="s">
        <v>1466</v>
      </c>
      <c r="B132" s="789"/>
      <c r="C132" s="789"/>
      <c r="D132" s="789"/>
      <c r="E132" s="789"/>
      <c r="F132" s="686">
        <f>SUM(F130,F131)</f>
        <v>655.88888314999997</v>
      </c>
      <c r="IQ132"/>
      <c r="IR132"/>
      <c r="IS132"/>
      <c r="IT132"/>
      <c r="IU132"/>
      <c r="IV132"/>
    </row>
    <row r="133" spans="1:256" ht="22.5" customHeight="1">
      <c r="A133" s="798" t="s">
        <v>914</v>
      </c>
      <c r="B133" s="799"/>
      <c r="C133" s="799"/>
      <c r="D133" s="799"/>
      <c r="E133" s="799"/>
      <c r="F133" s="800"/>
      <c r="IQ133"/>
      <c r="IR133"/>
      <c r="IS133"/>
      <c r="IT133"/>
      <c r="IU133"/>
      <c r="IV133"/>
    </row>
    <row r="134" spans="1:256" ht="84.75" hidden="1" customHeight="1">
      <c r="A134" s="440" t="s">
        <v>925</v>
      </c>
      <c r="B134" s="571" t="s">
        <v>923</v>
      </c>
      <c r="C134" s="440" t="s">
        <v>742</v>
      </c>
      <c r="D134" s="678"/>
      <c r="E134" s="623"/>
      <c r="F134" s="654"/>
      <c r="IQ134"/>
      <c r="IR134"/>
      <c r="IS134"/>
      <c r="IT134"/>
      <c r="IU134"/>
      <c r="IV134"/>
    </row>
    <row r="135" spans="1:256" ht="64.5" hidden="1" customHeight="1">
      <c r="A135" s="440" t="s">
        <v>935</v>
      </c>
      <c r="B135" s="569" t="s">
        <v>936</v>
      </c>
      <c r="C135" s="440" t="s">
        <v>742</v>
      </c>
      <c r="D135" s="678"/>
      <c r="E135" s="623"/>
      <c r="F135" s="654"/>
      <c r="IQ135"/>
      <c r="IR135"/>
      <c r="IS135"/>
      <c r="IT135"/>
      <c r="IU135"/>
      <c r="IV135"/>
    </row>
    <row r="136" spans="1:256" ht="91.5" hidden="1" customHeight="1">
      <c r="A136" s="440" t="s">
        <v>940</v>
      </c>
      <c r="B136" s="569" t="s">
        <v>937</v>
      </c>
      <c r="C136" s="440" t="s">
        <v>742</v>
      </c>
      <c r="D136" s="678"/>
      <c r="E136" s="623"/>
      <c r="F136" s="654"/>
      <c r="IQ136"/>
      <c r="IR136"/>
      <c r="IS136"/>
      <c r="IT136"/>
      <c r="IU136"/>
      <c r="IV136"/>
    </row>
    <row r="137" spans="1:256" ht="88.5" hidden="1" customHeight="1">
      <c r="A137" s="440" t="s">
        <v>941</v>
      </c>
      <c r="B137" s="569" t="s">
        <v>938</v>
      </c>
      <c r="C137" s="440" t="s">
        <v>742</v>
      </c>
      <c r="D137" s="678"/>
      <c r="E137" s="623"/>
      <c r="F137" s="654"/>
      <c r="IQ137"/>
      <c r="IR137"/>
      <c r="IS137"/>
      <c r="IT137"/>
      <c r="IU137"/>
      <c r="IV137"/>
    </row>
    <row r="138" spans="1:256" ht="103.5" hidden="1" customHeight="1">
      <c r="A138" s="440" t="s">
        <v>942</v>
      </c>
      <c r="B138" s="569" t="s">
        <v>939</v>
      </c>
      <c r="C138" s="440" t="s">
        <v>742</v>
      </c>
      <c r="D138" s="678"/>
      <c r="E138" s="623"/>
      <c r="F138" s="654"/>
      <c r="IQ138"/>
      <c r="IR138"/>
      <c r="IS138"/>
      <c r="IT138"/>
      <c r="IU138"/>
      <c r="IV138"/>
    </row>
    <row r="139" spans="1:256" ht="26.25" customHeight="1">
      <c r="A139" s="793" t="s">
        <v>915</v>
      </c>
      <c r="B139" s="793"/>
      <c r="C139" s="793"/>
      <c r="D139" s="793"/>
      <c r="E139" s="793"/>
      <c r="F139" s="793"/>
      <c r="IQ139"/>
      <c r="IR139"/>
      <c r="IS139"/>
      <c r="IT139"/>
      <c r="IU139"/>
      <c r="IV139"/>
    </row>
    <row r="140" spans="1:256" ht="74.25" hidden="1" customHeight="1">
      <c r="A140" s="440" t="s">
        <v>926</v>
      </c>
      <c r="B140" s="569" t="s">
        <v>1216</v>
      </c>
      <c r="C140" s="440" t="s">
        <v>742</v>
      </c>
      <c r="D140" s="678"/>
      <c r="E140" s="623"/>
      <c r="F140" s="654"/>
      <c r="IQ140"/>
      <c r="IR140"/>
      <c r="IS140"/>
      <c r="IT140"/>
      <c r="IU140"/>
      <c r="IV140"/>
    </row>
    <row r="141" spans="1:256" ht="114" hidden="1" customHeight="1">
      <c r="A141" s="440" t="s">
        <v>927</v>
      </c>
      <c r="B141" s="569" t="s">
        <v>1217</v>
      </c>
      <c r="C141" s="440" t="s">
        <v>742</v>
      </c>
      <c r="D141" s="678"/>
      <c r="E141" s="623"/>
      <c r="F141" s="654"/>
      <c r="IQ141"/>
      <c r="IR141"/>
      <c r="IS141"/>
      <c r="IT141"/>
      <c r="IU141"/>
      <c r="IV141"/>
    </row>
    <row r="142" spans="1:256" ht="68.25" hidden="1" customHeight="1">
      <c r="A142" s="440" t="s">
        <v>931</v>
      </c>
      <c r="B142" s="569" t="s">
        <v>1218</v>
      </c>
      <c r="C142" s="440" t="s">
        <v>742</v>
      </c>
      <c r="D142" s="678"/>
      <c r="E142" s="623"/>
      <c r="F142" s="654"/>
      <c r="IQ142"/>
      <c r="IR142"/>
      <c r="IS142"/>
      <c r="IT142"/>
      <c r="IU142"/>
      <c r="IV142"/>
    </row>
    <row r="143" spans="1:256" ht="60" hidden="1" customHeight="1">
      <c r="A143" s="440" t="s">
        <v>932</v>
      </c>
      <c r="B143" s="569" t="s">
        <v>1219</v>
      </c>
      <c r="C143" s="440" t="s">
        <v>742</v>
      </c>
      <c r="D143" s="678"/>
      <c r="E143" s="623"/>
      <c r="F143" s="654"/>
      <c r="IQ143"/>
      <c r="IR143"/>
      <c r="IS143"/>
      <c r="IT143"/>
      <c r="IU143"/>
      <c r="IV143"/>
    </row>
    <row r="144" spans="1:256" ht="64.5" hidden="1" customHeight="1">
      <c r="A144" s="440" t="s">
        <v>933</v>
      </c>
      <c r="B144" s="569" t="s">
        <v>1220</v>
      </c>
      <c r="C144" s="440" t="s">
        <v>742</v>
      </c>
      <c r="D144" s="678"/>
      <c r="E144" s="623"/>
      <c r="F144" s="654"/>
      <c r="IQ144"/>
      <c r="IR144"/>
      <c r="IS144"/>
      <c r="IT144"/>
      <c r="IU144"/>
      <c r="IV144"/>
    </row>
    <row r="145" spans="1:6" ht="53.25" hidden="1" customHeight="1">
      <c r="A145" s="440" t="s">
        <v>934</v>
      </c>
      <c r="B145" s="569" t="s">
        <v>930</v>
      </c>
      <c r="C145" s="440" t="s">
        <v>742</v>
      </c>
      <c r="D145" s="678"/>
      <c r="E145" s="623"/>
      <c r="F145" s="654"/>
    </row>
    <row r="146" spans="1:6" ht="24.75" customHeight="1">
      <c r="A146" s="794" t="s">
        <v>1202</v>
      </c>
      <c r="B146" s="794"/>
      <c r="C146" s="794"/>
      <c r="D146" s="794"/>
      <c r="E146" s="794"/>
      <c r="F146" s="793"/>
    </row>
    <row r="147" spans="1:6" ht="96.75" hidden="1" customHeight="1">
      <c r="A147" s="571" t="s">
        <v>1049</v>
      </c>
      <c r="B147" s="569" t="s">
        <v>1203</v>
      </c>
      <c r="C147" s="572" t="s">
        <v>742</v>
      </c>
      <c r="D147" s="680"/>
      <c r="E147" s="625"/>
      <c r="F147" s="655"/>
    </row>
    <row r="148" spans="1:6" ht="76.5" hidden="1" customHeight="1">
      <c r="A148" s="571" t="s">
        <v>1204</v>
      </c>
      <c r="B148" s="598" t="s">
        <v>1205</v>
      </c>
      <c r="C148" s="572" t="s">
        <v>742</v>
      </c>
      <c r="D148" s="681"/>
      <c r="E148" s="626"/>
      <c r="F148" s="654"/>
    </row>
    <row r="149" spans="1:6" ht="97.5" hidden="1" customHeight="1">
      <c r="A149" s="571" t="s">
        <v>1221</v>
      </c>
      <c r="B149" s="598" t="s">
        <v>1222</v>
      </c>
      <c r="C149" s="440" t="s">
        <v>742</v>
      </c>
      <c r="D149" s="678"/>
      <c r="E149" s="619"/>
      <c r="F149" s="439"/>
    </row>
    <row r="150" spans="1:6" ht="18" customHeight="1">
      <c r="A150" s="801" t="s">
        <v>956</v>
      </c>
      <c r="B150" s="801"/>
      <c r="C150" s="801"/>
      <c r="D150" s="801"/>
      <c r="E150" s="801"/>
      <c r="F150" s="801"/>
    </row>
    <row r="151" spans="1:6" ht="21" customHeight="1">
      <c r="A151" s="793" t="s">
        <v>884</v>
      </c>
      <c r="B151" s="793"/>
      <c r="C151" s="793"/>
      <c r="D151" s="793"/>
      <c r="E151" s="793"/>
      <c r="F151" s="793"/>
    </row>
    <row r="152" spans="1:6" ht="118.5" customHeight="1">
      <c r="A152" s="440" t="s">
        <v>881</v>
      </c>
      <c r="B152" s="577" t="s">
        <v>1223</v>
      </c>
      <c r="C152" s="441" t="s">
        <v>6</v>
      </c>
      <c r="D152" s="671">
        <v>51.67</v>
      </c>
      <c r="E152" s="619">
        <f>P.UNIT!T457</f>
        <v>540.73007557463222</v>
      </c>
      <c r="F152" s="660">
        <f>D152*E152</f>
        <v>27939.523004941249</v>
      </c>
    </row>
    <row r="153" spans="1:6" ht="118.5" customHeight="1">
      <c r="A153" s="246" t="s">
        <v>964</v>
      </c>
      <c r="B153" s="551" t="s">
        <v>1266</v>
      </c>
      <c r="C153" s="441" t="s">
        <v>294</v>
      </c>
      <c r="D153" s="672">
        <v>4.1500000000000004</v>
      </c>
      <c r="E153" s="620">
        <f>P.UNIT!AO457</f>
        <v>989.06673418919229</v>
      </c>
      <c r="F153" s="660">
        <f t="shared" ref="F153" si="10">D153*E153</f>
        <v>4104.6269468851488</v>
      </c>
    </row>
    <row r="154" spans="1:6" ht="74.25" hidden="1" customHeight="1">
      <c r="A154" s="442" t="s">
        <v>968</v>
      </c>
      <c r="B154" s="571" t="s">
        <v>958</v>
      </c>
      <c r="C154" s="440" t="s">
        <v>6</v>
      </c>
      <c r="D154" s="677"/>
      <c r="E154" s="620">
        <f>P.UNIT!BQ457</f>
        <v>182.76109029878455</v>
      </c>
      <c r="F154" s="660">
        <f>D154*E154</f>
        <v>0</v>
      </c>
    </row>
    <row r="155" spans="1:6" ht="43.2" hidden="1">
      <c r="A155" s="442" t="s">
        <v>969</v>
      </c>
      <c r="B155" s="571" t="s">
        <v>959</v>
      </c>
      <c r="C155" s="440" t="s">
        <v>294</v>
      </c>
      <c r="D155" s="671"/>
      <c r="E155" s="619"/>
      <c r="F155" s="439">
        <f t="shared" ref="F155:F157" si="11">D155*E155</f>
        <v>0</v>
      </c>
    </row>
    <row r="156" spans="1:6" ht="61.5" hidden="1" customHeight="1">
      <c r="A156" s="442" t="s">
        <v>1310</v>
      </c>
      <c r="B156" s="571" t="s">
        <v>960</v>
      </c>
      <c r="C156" s="440" t="s">
        <v>294</v>
      </c>
      <c r="D156" s="678"/>
      <c r="E156" s="619"/>
      <c r="F156" s="439">
        <f t="shared" si="11"/>
        <v>0</v>
      </c>
    </row>
    <row r="157" spans="1:6" s="228" customFormat="1" ht="89.25" hidden="1" customHeight="1">
      <c r="A157" s="442" t="s">
        <v>1311</v>
      </c>
      <c r="B157" s="577" t="s">
        <v>957</v>
      </c>
      <c r="C157" s="440" t="s">
        <v>6</v>
      </c>
      <c r="D157" s="678"/>
      <c r="E157" s="619"/>
      <c r="F157" s="439">
        <f t="shared" si="11"/>
        <v>0</v>
      </c>
    </row>
    <row r="158" spans="1:6" s="228" customFormat="1" ht="92.25" hidden="1" customHeight="1">
      <c r="A158" s="442" t="s">
        <v>1312</v>
      </c>
      <c r="B158" s="569" t="s">
        <v>1336</v>
      </c>
      <c r="C158" s="440" t="s">
        <v>6</v>
      </c>
      <c r="D158" s="677"/>
      <c r="E158" s="620">
        <f>P.UNIT!BX458</f>
        <v>620.88253975631699</v>
      </c>
      <c r="F158" s="660">
        <f>D158*E158</f>
        <v>0</v>
      </c>
    </row>
    <row r="159" spans="1:6" s="228" customFormat="1" ht="64.5" hidden="1" customHeight="1">
      <c r="A159" s="442" t="s">
        <v>1313</v>
      </c>
      <c r="B159" s="569" t="s">
        <v>961</v>
      </c>
      <c r="C159" s="442" t="s">
        <v>6</v>
      </c>
      <c r="D159" s="677"/>
      <c r="E159" s="620">
        <f>P.UNIT!CE458</f>
        <v>767.42434415107425</v>
      </c>
      <c r="F159" s="660">
        <f>D159*E159</f>
        <v>0</v>
      </c>
    </row>
    <row r="160" spans="1:6" s="228" customFormat="1" ht="64.5" customHeight="1">
      <c r="A160" s="790" t="s">
        <v>1463</v>
      </c>
      <c r="B160" s="791"/>
      <c r="C160" s="791"/>
      <c r="D160" s="791"/>
      <c r="E160" s="792"/>
      <c r="F160" s="661">
        <f>SUM(F154:F159,F152)</f>
        <v>27939.523004941249</v>
      </c>
    </row>
    <row r="161" spans="1:6" s="228" customFormat="1" ht="27.75" hidden="1" customHeight="1">
      <c r="A161" s="793" t="s">
        <v>1225</v>
      </c>
      <c r="B161" s="793"/>
      <c r="C161" s="793"/>
      <c r="D161" s="793"/>
      <c r="E161" s="793"/>
      <c r="F161" s="793"/>
    </row>
    <row r="162" spans="1:6" s="228" customFormat="1" ht="96.75" hidden="1" customHeight="1">
      <c r="A162" s="440" t="s">
        <v>1248</v>
      </c>
      <c r="B162" s="561" t="s">
        <v>1249</v>
      </c>
      <c r="C162" s="246" t="s">
        <v>907</v>
      </c>
      <c r="D162" s="671"/>
      <c r="E162" s="619"/>
      <c r="F162" s="439"/>
    </row>
    <row r="163" spans="1:6" s="228" customFormat="1" ht="114.75" hidden="1" customHeight="1">
      <c r="A163" s="440" t="s">
        <v>1254</v>
      </c>
      <c r="B163" s="561" t="s">
        <v>1255</v>
      </c>
      <c r="C163" s="246" t="s">
        <v>907</v>
      </c>
      <c r="D163" s="671"/>
      <c r="E163" s="619"/>
      <c r="F163" s="439"/>
    </row>
    <row r="164" spans="1:6" s="228" customFormat="1" ht="23.25" customHeight="1">
      <c r="A164" s="793" t="s">
        <v>872</v>
      </c>
      <c r="B164" s="793"/>
      <c r="C164" s="793"/>
      <c r="D164" s="793"/>
      <c r="E164" s="793"/>
      <c r="F164" s="793"/>
    </row>
    <row r="165" spans="1:6" s="228" customFormat="1" ht="72.599999999999994" customHeight="1">
      <c r="A165" s="437" t="s">
        <v>834</v>
      </c>
      <c r="B165" s="438" t="s">
        <v>908</v>
      </c>
      <c r="C165" s="246" t="s">
        <v>6</v>
      </c>
      <c r="D165" s="672">
        <v>2.6</v>
      </c>
      <c r="E165" s="619">
        <f>P.UNIT!AA503</f>
        <v>74.673655033703696</v>
      </c>
      <c r="F165" s="619">
        <f t="shared" ref="F165:F166" si="12">D165*E165</f>
        <v>194.15150308762961</v>
      </c>
    </row>
    <row r="166" spans="1:6" s="228" customFormat="1" ht="72.599999999999994" customHeight="1">
      <c r="A166" s="246" t="s">
        <v>835</v>
      </c>
      <c r="B166" s="438" t="s">
        <v>1182</v>
      </c>
      <c r="C166" s="246" t="s">
        <v>6</v>
      </c>
      <c r="D166" s="672">
        <v>38.26</v>
      </c>
      <c r="E166" s="619">
        <f>P.UNIT!AH503</f>
        <v>62.687890439908763</v>
      </c>
      <c r="F166" s="660">
        <f t="shared" si="12"/>
        <v>2398.4386882309091</v>
      </c>
    </row>
    <row r="167" spans="1:6" s="228" customFormat="1" ht="71.25" customHeight="1">
      <c r="A167" s="440" t="s">
        <v>962</v>
      </c>
      <c r="B167" s="569" t="s">
        <v>1224</v>
      </c>
      <c r="C167" s="440" t="s">
        <v>6</v>
      </c>
      <c r="D167" s="671">
        <v>62.21</v>
      </c>
      <c r="E167" s="632">
        <f>P.UNIT!CE503</f>
        <v>306.93793646730768</v>
      </c>
      <c r="F167" s="660">
        <f>D167*E167</f>
        <v>19094.60902763121</v>
      </c>
    </row>
    <row r="168" spans="1:6" s="228" customFormat="1" ht="71.25" customHeight="1">
      <c r="A168" s="786" t="s">
        <v>1465</v>
      </c>
      <c r="B168" s="787"/>
      <c r="C168" s="787"/>
      <c r="D168" s="787"/>
      <c r="E168" s="788"/>
      <c r="F168" s="661">
        <f>SUM(F167)</f>
        <v>19094.60902763121</v>
      </c>
    </row>
    <row r="169" spans="1:6" s="228" customFormat="1" ht="24.75" customHeight="1">
      <c r="A169" s="794" t="s">
        <v>1202</v>
      </c>
      <c r="B169" s="794"/>
      <c r="C169" s="794"/>
      <c r="D169" s="794"/>
      <c r="E169" s="794"/>
      <c r="F169" s="793"/>
    </row>
    <row r="170" spans="1:6" s="228" customFormat="1" ht="91.5" hidden="1" customHeight="1">
      <c r="A170" s="571" t="s">
        <v>1250</v>
      </c>
      <c r="B170" s="569" t="s">
        <v>1252</v>
      </c>
      <c r="C170" s="572" t="s">
        <v>742</v>
      </c>
      <c r="D170" s="680"/>
      <c r="E170" s="625"/>
      <c r="F170" s="655"/>
    </row>
    <row r="171" spans="1:6" s="228" customFormat="1" ht="68.25" hidden="1" customHeight="1">
      <c r="A171" s="571" t="s">
        <v>1251</v>
      </c>
      <c r="B171" s="569" t="s">
        <v>1253</v>
      </c>
      <c r="C171" s="572" t="s">
        <v>742</v>
      </c>
      <c r="D171" s="678"/>
      <c r="E171" s="619"/>
      <c r="F171" s="439"/>
    </row>
    <row r="172" spans="1:6" ht="59.4" customHeight="1">
      <c r="A172" s="779" t="s">
        <v>44</v>
      </c>
      <c r="B172" s="779"/>
      <c r="C172" s="779"/>
      <c r="D172" s="779"/>
      <c r="E172" s="779"/>
      <c r="F172" s="660">
        <f>F10+F43+F31+F50+F58+F97+F101+F111+F123+F128+F132+F160+F168</f>
        <v>524447.04394176661</v>
      </c>
    </row>
    <row r="173" spans="1:6" ht="15" customHeight="1">
      <c r="A173" s="779" t="s">
        <v>1474</v>
      </c>
      <c r="B173" s="779"/>
      <c r="C173" s="779"/>
      <c r="D173" s="779"/>
      <c r="E173" s="779"/>
      <c r="F173" s="660">
        <f>F172*0.1644</f>
        <v>86219.094024026432</v>
      </c>
    </row>
    <row r="174" spans="1:6" ht="15" customHeight="1">
      <c r="A174" s="781" t="s">
        <v>1475</v>
      </c>
      <c r="B174" s="781"/>
      <c r="C174" s="781"/>
      <c r="D174" s="781"/>
      <c r="E174" s="781"/>
      <c r="F174" s="660">
        <f>F172+F173</f>
        <v>610666.13796579302</v>
      </c>
    </row>
    <row r="175" spans="1:6" ht="15" customHeight="1">
      <c r="A175" s="779" t="s">
        <v>1476</v>
      </c>
      <c r="B175" s="779"/>
      <c r="C175" s="779"/>
      <c r="D175" s="779"/>
      <c r="E175" s="779"/>
      <c r="F175" s="660">
        <f>F174*0.001074</f>
        <v>655.85543217526174</v>
      </c>
    </row>
    <row r="176" spans="1:6" ht="15" customHeight="1">
      <c r="A176" s="782" t="s">
        <v>1477</v>
      </c>
      <c r="B176" s="782"/>
      <c r="C176" s="782"/>
      <c r="D176" s="782"/>
      <c r="E176" s="782"/>
      <c r="F176" s="660">
        <f>F174+F175</f>
        <v>611321.99339796824</v>
      </c>
    </row>
    <row r="177" spans="1:6" ht="15" customHeight="1">
      <c r="A177" s="779" t="s">
        <v>1478</v>
      </c>
      <c r="B177" s="779"/>
      <c r="C177" s="779"/>
      <c r="D177" s="779"/>
      <c r="E177" s="779"/>
      <c r="F177" s="660">
        <f>F176*0.0667</f>
        <v>40775.176959644479</v>
      </c>
    </row>
    <row r="178" spans="1:6" ht="15" customHeight="1">
      <c r="A178" s="779" t="s">
        <v>1479</v>
      </c>
      <c r="B178" s="779"/>
      <c r="C178" s="779"/>
      <c r="D178" s="779"/>
      <c r="E178" s="779"/>
      <c r="F178" s="660">
        <f>F176+F177</f>
        <v>652097.17035761266</v>
      </c>
    </row>
    <row r="179" spans="1:6" ht="15" customHeight="1">
      <c r="A179" s="779" t="s">
        <v>1480</v>
      </c>
      <c r="B179" s="779"/>
      <c r="C179" s="779"/>
      <c r="D179" s="779"/>
      <c r="E179" s="779"/>
      <c r="F179" s="660">
        <f>F178*0.16</f>
        <v>104335.54725721803</v>
      </c>
    </row>
    <row r="180" spans="1:6" ht="15" customHeight="1">
      <c r="A180" s="780" t="s">
        <v>1481</v>
      </c>
      <c r="B180" s="780"/>
      <c r="C180" s="780"/>
      <c r="D180" s="780"/>
      <c r="E180" s="780"/>
      <c r="F180" s="661">
        <f>F178+F179</f>
        <v>756432.7176148307</v>
      </c>
    </row>
    <row r="181" spans="1:6" ht="15" customHeight="1">
      <c r="A181" s="778" t="s">
        <v>1482</v>
      </c>
      <c r="B181" s="778"/>
      <c r="C181" s="778"/>
      <c r="D181" s="778"/>
      <c r="E181" s="778"/>
      <c r="F181" s="439"/>
    </row>
  </sheetData>
  <mergeCells count="51">
    <mergeCell ref="A83:F83"/>
    <mergeCell ref="A1:F1"/>
    <mergeCell ref="A2:F2"/>
    <mergeCell ref="A3:F3"/>
    <mergeCell ref="A11:F11"/>
    <mergeCell ref="A22:F22"/>
    <mergeCell ref="A32:F32"/>
    <mergeCell ref="A44:F44"/>
    <mergeCell ref="A51:F51"/>
    <mergeCell ref="A59:F59"/>
    <mergeCell ref="A74:F74"/>
    <mergeCell ref="A77:F77"/>
    <mergeCell ref="A103:F103"/>
    <mergeCell ref="A112:F112"/>
    <mergeCell ref="A97:E97"/>
    <mergeCell ref="A101:E101"/>
    <mergeCell ref="A111:E111"/>
    <mergeCell ref="A169:F169"/>
    <mergeCell ref="A10:E10"/>
    <mergeCell ref="A31:E31"/>
    <mergeCell ref="A43:E43"/>
    <mergeCell ref="A50:E50"/>
    <mergeCell ref="A58:E58"/>
    <mergeCell ref="A124:F124"/>
    <mergeCell ref="A129:F129"/>
    <mergeCell ref="A133:F133"/>
    <mergeCell ref="A139:F139"/>
    <mergeCell ref="A146:F146"/>
    <mergeCell ref="A150:F150"/>
    <mergeCell ref="A86:F86"/>
    <mergeCell ref="A92:F92"/>
    <mergeCell ref="A98:F98"/>
    <mergeCell ref="A102:F102"/>
    <mergeCell ref="A123:E123"/>
    <mergeCell ref="A128:E128"/>
    <mergeCell ref="A132:E132"/>
    <mergeCell ref="A160:E160"/>
    <mergeCell ref="A168:E168"/>
    <mergeCell ref="A151:F151"/>
    <mergeCell ref="A161:F161"/>
    <mergeCell ref="A164:F164"/>
    <mergeCell ref="A172:E172"/>
    <mergeCell ref="A173:E173"/>
    <mergeCell ref="A174:E174"/>
    <mergeCell ref="A175:E175"/>
    <mergeCell ref="A176:E176"/>
    <mergeCell ref="A181:E181"/>
    <mergeCell ref="A177:E177"/>
    <mergeCell ref="A178:E178"/>
    <mergeCell ref="A179:E179"/>
    <mergeCell ref="A180:E180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59"/>
  <sheetViews>
    <sheetView topLeftCell="A10" zoomScale="72" zoomScaleNormal="72" workbookViewId="0">
      <selection activeCell="B14" sqref="B14"/>
    </sheetView>
  </sheetViews>
  <sheetFormatPr defaultColWidth="11.44140625" defaultRowHeight="15" customHeight="1"/>
  <cols>
    <col min="1" max="1" width="14.6640625" style="432" customWidth="1"/>
    <col min="2" max="2" width="81.109375" style="228" customWidth="1"/>
    <col min="3" max="3" width="16.5546875" style="432" customWidth="1"/>
    <col min="4" max="4" width="15.5546875" style="228" customWidth="1"/>
    <col min="5" max="5" width="17.109375" style="627" customWidth="1"/>
    <col min="6" max="6" width="15.109375" style="228" customWidth="1"/>
    <col min="7" max="7" width="11.44140625" style="228" customWidth="1"/>
    <col min="8" max="8" width="24.33203125" style="228" customWidth="1"/>
    <col min="9" max="256" width="11.44140625" style="228" customWidth="1"/>
  </cols>
  <sheetData>
    <row r="1" spans="1:256" ht="15" customHeight="1">
      <c r="A1" s="793" t="s">
        <v>883</v>
      </c>
      <c r="B1" s="802"/>
      <c r="C1" s="802"/>
      <c r="D1" s="802"/>
      <c r="E1" s="802"/>
      <c r="F1" s="802"/>
      <c r="G1" s="170"/>
      <c r="H1" s="61"/>
      <c r="IQ1"/>
      <c r="IR1"/>
      <c r="IS1"/>
      <c r="IT1"/>
      <c r="IU1"/>
      <c r="IV1"/>
    </row>
    <row r="2" spans="1:256" ht="15" customHeight="1">
      <c r="A2" s="801" t="s">
        <v>963</v>
      </c>
      <c r="B2" s="801"/>
      <c r="C2" s="801"/>
      <c r="D2" s="801"/>
      <c r="E2" s="801"/>
      <c r="F2" s="801"/>
      <c r="G2" s="170"/>
      <c r="H2" s="61"/>
      <c r="IQ2"/>
      <c r="IR2"/>
      <c r="IS2"/>
      <c r="IT2"/>
      <c r="IU2"/>
      <c r="IV2"/>
    </row>
    <row r="3" spans="1:256" ht="15.75" customHeight="1">
      <c r="A3" s="793" t="s">
        <v>859</v>
      </c>
      <c r="B3" s="793"/>
      <c r="C3" s="793"/>
      <c r="D3" s="793"/>
      <c r="E3" s="793"/>
      <c r="F3" s="793"/>
      <c r="G3" s="170"/>
      <c r="H3" s="61"/>
      <c r="IQ3"/>
      <c r="IR3"/>
      <c r="IS3"/>
      <c r="IT3"/>
      <c r="IU3"/>
      <c r="IV3"/>
    </row>
    <row r="4" spans="1:256" ht="14.4">
      <c r="A4" s="431" t="s">
        <v>1</v>
      </c>
      <c r="B4" s="431" t="s">
        <v>2</v>
      </c>
      <c r="C4" s="431" t="s">
        <v>3</v>
      </c>
      <c r="D4" s="544" t="s">
        <v>72</v>
      </c>
      <c r="E4" s="618" t="s">
        <v>819</v>
      </c>
      <c r="F4" s="431" t="s">
        <v>11</v>
      </c>
      <c r="G4" s="433"/>
      <c r="H4" s="434"/>
      <c r="IQ4"/>
      <c r="IR4"/>
      <c r="IS4"/>
      <c r="IT4"/>
      <c r="IU4"/>
      <c r="IV4"/>
    </row>
    <row r="5" spans="1:256" ht="64.5" customHeight="1">
      <c r="A5" s="246" t="s">
        <v>820</v>
      </c>
      <c r="B5" s="435" t="s">
        <v>861</v>
      </c>
      <c r="C5" s="246" t="s">
        <v>6</v>
      </c>
      <c r="D5" s="545"/>
      <c r="E5" s="619">
        <f>P.UNIT!F363</f>
        <v>17.262579166812838</v>
      </c>
      <c r="F5" s="436"/>
      <c r="G5" s="546"/>
      <c r="H5" s="547" t="s">
        <v>1174</v>
      </c>
      <c r="IQ5"/>
      <c r="IR5"/>
      <c r="IS5"/>
      <c r="IT5"/>
      <c r="IU5"/>
      <c r="IV5"/>
    </row>
    <row r="6" spans="1:256" ht="45.75" customHeight="1">
      <c r="A6" s="246" t="s">
        <v>821</v>
      </c>
      <c r="B6" s="435" t="s">
        <v>860</v>
      </c>
      <c r="C6" s="246" t="s">
        <v>6</v>
      </c>
      <c r="D6" s="548"/>
      <c r="E6" s="619">
        <f>P.UNIT!M363</f>
        <v>17.262579166812838</v>
      </c>
      <c r="F6" s="436"/>
      <c r="G6" s="549"/>
      <c r="H6" s="550" t="s">
        <v>1175</v>
      </c>
      <c r="IQ6"/>
      <c r="IR6"/>
      <c r="IS6"/>
      <c r="IT6"/>
      <c r="IU6"/>
      <c r="IV6"/>
    </row>
    <row r="7" spans="1:256" ht="49.5" customHeight="1">
      <c r="A7" s="246" t="s">
        <v>822</v>
      </c>
      <c r="B7" s="551" t="s">
        <v>1176</v>
      </c>
      <c r="C7" s="246" t="s">
        <v>308</v>
      </c>
      <c r="D7" s="548"/>
      <c r="E7" s="619">
        <f>P.UNIT!T363</f>
        <v>226.61910403911173</v>
      </c>
      <c r="F7" s="436"/>
      <c r="G7" s="552" t="s">
        <v>1177</v>
      </c>
      <c r="H7" s="553" t="s">
        <v>1178</v>
      </c>
      <c r="IN7"/>
      <c r="IO7"/>
      <c r="IP7"/>
      <c r="IQ7"/>
      <c r="IR7"/>
      <c r="IS7"/>
      <c r="IT7"/>
      <c r="IU7"/>
      <c r="IV7"/>
    </row>
    <row r="8" spans="1:256" ht="61.5" customHeight="1">
      <c r="A8" s="246" t="s">
        <v>823</v>
      </c>
      <c r="B8" s="435" t="s">
        <v>862</v>
      </c>
      <c r="C8" s="246" t="s">
        <v>308</v>
      </c>
      <c r="D8" s="548"/>
      <c r="E8" s="619">
        <f>P.UNIT!AA363</f>
        <v>103.22752384525386</v>
      </c>
      <c r="F8" s="436"/>
      <c r="G8" s="554"/>
      <c r="H8" s="555" t="s">
        <v>1256</v>
      </c>
      <c r="IQ8"/>
      <c r="IR8"/>
      <c r="IS8"/>
      <c r="IT8"/>
      <c r="IU8"/>
      <c r="IV8"/>
    </row>
    <row r="9" spans="1:256" ht="45.75" customHeight="1">
      <c r="A9" s="246" t="s">
        <v>824</v>
      </c>
      <c r="B9" s="435" t="s">
        <v>863</v>
      </c>
      <c r="C9" s="437" t="s">
        <v>1022</v>
      </c>
      <c r="D9" s="548"/>
      <c r="E9" s="619">
        <f>P.UNIT!AH363</f>
        <v>9.2350053961155485</v>
      </c>
      <c r="F9" s="436"/>
      <c r="G9" s="556"/>
      <c r="H9" s="555" t="s">
        <v>1241</v>
      </c>
      <c r="IQ9"/>
      <c r="IR9"/>
      <c r="IS9"/>
      <c r="IT9"/>
      <c r="IU9"/>
      <c r="IV9"/>
    </row>
    <row r="10" spans="1:256" ht="25.5" customHeight="1">
      <c r="A10" s="793" t="s">
        <v>864</v>
      </c>
      <c r="B10" s="793"/>
      <c r="C10" s="793"/>
      <c r="D10" s="793"/>
      <c r="E10" s="793"/>
      <c r="F10" s="793"/>
      <c r="G10" s="170"/>
      <c r="H10" s="61"/>
      <c r="IQ10"/>
      <c r="IR10"/>
      <c r="IS10"/>
      <c r="IT10"/>
      <c r="IU10"/>
      <c r="IV10"/>
    </row>
    <row r="11" spans="1:256" ht="57.6">
      <c r="A11" s="437" t="s">
        <v>825</v>
      </c>
      <c r="B11" s="435" t="s">
        <v>1179</v>
      </c>
      <c r="C11" s="246" t="s">
        <v>6</v>
      </c>
      <c r="D11" s="548"/>
      <c r="E11" s="619">
        <f>P.UNIT!F409</f>
        <v>133.42994341855604</v>
      </c>
      <c r="F11" s="436"/>
      <c r="G11" s="170"/>
      <c r="H11" s="61"/>
      <c r="IQ11"/>
      <c r="IR11"/>
      <c r="IS11"/>
      <c r="IT11"/>
      <c r="IU11"/>
      <c r="IV11"/>
    </row>
    <row r="12" spans="1:256" ht="51" customHeight="1">
      <c r="A12" s="437" t="s">
        <v>826</v>
      </c>
      <c r="B12" s="557" t="s">
        <v>911</v>
      </c>
      <c r="C12" s="246" t="s">
        <v>6</v>
      </c>
      <c r="D12" s="436"/>
      <c r="E12" s="619"/>
      <c r="F12" s="436"/>
      <c r="G12" s="170"/>
      <c r="H12" s="61"/>
      <c r="IQ12"/>
      <c r="IR12"/>
      <c r="IS12"/>
      <c r="IT12"/>
      <c r="IU12"/>
      <c r="IV12"/>
    </row>
    <row r="13" spans="1:256" ht="54.75" customHeight="1">
      <c r="A13" s="437" t="s">
        <v>827</v>
      </c>
      <c r="B13" s="557" t="s">
        <v>912</v>
      </c>
      <c r="C13" s="246" t="s">
        <v>742</v>
      </c>
      <c r="D13" s="436"/>
      <c r="E13" s="619"/>
      <c r="F13" s="436"/>
      <c r="G13" s="170"/>
      <c r="H13" s="61"/>
      <c r="IQ13"/>
      <c r="IR13"/>
      <c r="IS13"/>
      <c r="IT13"/>
      <c r="IU13"/>
      <c r="IV13"/>
    </row>
    <row r="14" spans="1:256" ht="102.75" customHeight="1">
      <c r="A14" s="437" t="s">
        <v>828</v>
      </c>
      <c r="B14" s="558" t="s">
        <v>1257</v>
      </c>
      <c r="C14" s="246" t="s">
        <v>6</v>
      </c>
      <c r="D14" s="559"/>
      <c r="E14" s="619">
        <f>P.UNIT!M409</f>
        <v>649.01524810170883</v>
      </c>
      <c r="F14" s="436"/>
      <c r="G14" s="170"/>
      <c r="H14" s="61"/>
      <c r="IQ14"/>
      <c r="IR14"/>
      <c r="IS14"/>
      <c r="IT14"/>
      <c r="IU14"/>
      <c r="IV14"/>
    </row>
    <row r="15" spans="1:256" ht="102.75" customHeight="1">
      <c r="A15" s="437" t="s">
        <v>829</v>
      </c>
      <c r="B15" s="585" t="s">
        <v>1258</v>
      </c>
      <c r="C15" s="246" t="s">
        <v>294</v>
      </c>
      <c r="D15" s="559"/>
      <c r="E15" s="620">
        <f>P.UNIT!T409</f>
        <v>723.49839103208524</v>
      </c>
      <c r="F15" s="436"/>
      <c r="G15" s="170"/>
      <c r="H15" s="61"/>
      <c r="IQ15"/>
      <c r="IR15"/>
      <c r="IS15"/>
      <c r="IT15"/>
      <c r="IU15"/>
      <c r="IV15"/>
    </row>
    <row r="16" spans="1:256" ht="102.75" customHeight="1">
      <c r="A16" s="437" t="s">
        <v>1237</v>
      </c>
      <c r="B16" s="585" t="s">
        <v>1239</v>
      </c>
      <c r="C16" s="246" t="s">
        <v>294</v>
      </c>
      <c r="D16" s="580"/>
      <c r="E16" s="619"/>
      <c r="F16" s="436"/>
      <c r="G16" s="170"/>
      <c r="H16" s="61"/>
      <c r="IQ16"/>
      <c r="IR16"/>
      <c r="IS16"/>
      <c r="IT16"/>
      <c r="IU16"/>
      <c r="IV16"/>
    </row>
    <row r="17" spans="1:256" ht="102.75" customHeight="1">
      <c r="A17" s="437" t="s">
        <v>1238</v>
      </c>
      <c r="B17" s="585" t="s">
        <v>1240</v>
      </c>
      <c r="C17" s="246" t="s">
        <v>294</v>
      </c>
      <c r="D17" s="653"/>
      <c r="E17" s="619"/>
      <c r="F17" s="436"/>
      <c r="G17" s="170"/>
      <c r="H17" s="61"/>
      <c r="IQ17"/>
      <c r="IR17"/>
      <c r="IS17"/>
      <c r="IT17"/>
      <c r="IU17"/>
      <c r="IV17"/>
    </row>
    <row r="18" spans="1:256" ht="102.75" customHeight="1">
      <c r="A18" s="437" t="s">
        <v>1242</v>
      </c>
      <c r="B18" s="585" t="s">
        <v>1247</v>
      </c>
      <c r="C18" s="246" t="s">
        <v>742</v>
      </c>
      <c r="D18" s="580"/>
      <c r="E18" s="619"/>
      <c r="F18" s="436"/>
      <c r="G18" s="170"/>
      <c r="H18" s="61"/>
      <c r="IQ18"/>
      <c r="IR18"/>
      <c r="IS18"/>
      <c r="IT18"/>
      <c r="IU18"/>
      <c r="IV18"/>
    </row>
    <row r="19" spans="1:256" ht="102.75" customHeight="1">
      <c r="A19" s="437" t="s">
        <v>1243</v>
      </c>
      <c r="B19" s="585" t="s">
        <v>1245</v>
      </c>
      <c r="C19" s="246" t="s">
        <v>742</v>
      </c>
      <c r="D19" s="580"/>
      <c r="E19" s="619"/>
      <c r="F19" s="436"/>
      <c r="G19" s="170"/>
      <c r="H19" s="61"/>
      <c r="IQ19"/>
      <c r="IR19"/>
      <c r="IS19"/>
      <c r="IT19"/>
      <c r="IU19"/>
      <c r="IV19"/>
    </row>
    <row r="20" spans="1:256" ht="102.75" customHeight="1">
      <c r="A20" s="437" t="s">
        <v>1244</v>
      </c>
      <c r="B20" s="585" t="s">
        <v>1246</v>
      </c>
      <c r="C20" s="246" t="s">
        <v>742</v>
      </c>
      <c r="D20" s="580"/>
      <c r="E20" s="619"/>
      <c r="F20" s="436"/>
      <c r="G20" s="170"/>
      <c r="H20" s="61"/>
      <c r="IQ20"/>
      <c r="IR20"/>
      <c r="IS20"/>
      <c r="IT20"/>
      <c r="IU20"/>
      <c r="IV20"/>
    </row>
    <row r="21" spans="1:256" ht="102.75" customHeight="1">
      <c r="A21" s="437" t="s">
        <v>1470</v>
      </c>
      <c r="B21" s="665" t="s">
        <v>1471</v>
      </c>
      <c r="C21" s="668" t="s">
        <v>294</v>
      </c>
      <c r="D21" s="667"/>
      <c r="E21" s="667"/>
      <c r="F21" s="667"/>
      <c r="G21" s="667"/>
      <c r="H21" s="667"/>
      <c r="I21" s="666"/>
      <c r="J21" s="666"/>
      <c r="K21" s="666"/>
      <c r="L21" s="666"/>
      <c r="IQ21"/>
      <c r="IR21"/>
      <c r="IS21"/>
      <c r="IT21"/>
      <c r="IU21"/>
      <c r="IV21"/>
    </row>
    <row r="22" spans="1:256" ht="25.5" customHeight="1">
      <c r="A22" s="793" t="s">
        <v>879</v>
      </c>
      <c r="B22" s="793"/>
      <c r="C22" s="793"/>
      <c r="D22" s="793"/>
      <c r="E22" s="793"/>
      <c r="F22" s="793"/>
      <c r="G22" s="170"/>
      <c r="H22" s="61"/>
      <c r="IQ22"/>
      <c r="IR22"/>
      <c r="IS22"/>
      <c r="IT22"/>
      <c r="IU22"/>
      <c r="IV22"/>
    </row>
    <row r="23" spans="1:256" ht="78.75" customHeight="1">
      <c r="A23" s="440" t="s">
        <v>4</v>
      </c>
      <c r="B23" s="435" t="s">
        <v>906</v>
      </c>
      <c r="C23" s="442" t="s">
        <v>6</v>
      </c>
      <c r="D23" s="560"/>
      <c r="E23" s="619">
        <f>P.UNIT!F458</f>
        <v>876.07491081025535</v>
      </c>
      <c r="F23" s="436"/>
      <c r="G23" s="170"/>
      <c r="H23" s="61"/>
      <c r="IQ23"/>
      <c r="IR23"/>
      <c r="IS23"/>
      <c r="IT23"/>
      <c r="IU23"/>
      <c r="IV23"/>
    </row>
    <row r="24" spans="1:256" ht="81" customHeight="1">
      <c r="A24" s="440" t="s">
        <v>7</v>
      </c>
      <c r="B24" s="435" t="s">
        <v>880</v>
      </c>
      <c r="C24" s="441" t="s">
        <v>6</v>
      </c>
      <c r="D24" s="559"/>
      <c r="E24" s="619">
        <f>P.UNIT!M458</f>
        <v>294.34874794500001</v>
      </c>
      <c r="F24" s="436"/>
      <c r="G24" s="170"/>
      <c r="H24" s="61"/>
      <c r="IQ24"/>
      <c r="IR24"/>
      <c r="IS24"/>
      <c r="IT24"/>
      <c r="IU24"/>
      <c r="IV24"/>
    </row>
    <row r="25" spans="1:256" ht="75.75" customHeight="1">
      <c r="A25" s="440" t="s">
        <v>886</v>
      </c>
      <c r="B25" s="435" t="s">
        <v>1180</v>
      </c>
      <c r="C25" s="441" t="s">
        <v>6</v>
      </c>
      <c r="D25" s="548"/>
      <c r="E25" s="619">
        <f>P.UNIT!AA458</f>
        <v>1129.4669880856231</v>
      </c>
      <c r="F25" s="436"/>
      <c r="G25" s="170"/>
      <c r="H25" s="61"/>
      <c r="IQ25"/>
      <c r="IR25"/>
      <c r="IS25"/>
      <c r="IT25"/>
      <c r="IU25"/>
      <c r="IV25"/>
    </row>
    <row r="26" spans="1:256" ht="66.75" customHeight="1">
      <c r="A26" s="246" t="s">
        <v>887</v>
      </c>
      <c r="B26" s="435" t="s">
        <v>953</v>
      </c>
      <c r="C26" s="441" t="s">
        <v>742</v>
      </c>
      <c r="D26" s="436"/>
      <c r="E26" s="619"/>
      <c r="F26" s="436"/>
      <c r="G26" s="170"/>
      <c r="H26" s="61"/>
      <c r="IQ26"/>
      <c r="IR26"/>
      <c r="IS26"/>
      <c r="IT26"/>
      <c r="IU26"/>
      <c r="IV26"/>
    </row>
    <row r="27" spans="1:256" ht="87" customHeight="1">
      <c r="A27" s="246" t="s">
        <v>1233</v>
      </c>
      <c r="B27" s="551" t="s">
        <v>1265</v>
      </c>
      <c r="C27" s="441" t="s">
        <v>294</v>
      </c>
      <c r="D27" s="669"/>
      <c r="E27" s="621">
        <f>P.UNIT!AH457</f>
        <v>1345.9799665831829</v>
      </c>
      <c r="F27" s="436"/>
      <c r="G27" s="170"/>
      <c r="H27" s="61"/>
      <c r="IQ27"/>
      <c r="IR27"/>
      <c r="IS27"/>
      <c r="IT27"/>
      <c r="IU27"/>
      <c r="IV27"/>
    </row>
    <row r="28" spans="1:256" ht="84" customHeight="1">
      <c r="A28" s="246" t="s">
        <v>964</v>
      </c>
      <c r="B28" s="551" t="s">
        <v>1266</v>
      </c>
      <c r="C28" s="441" t="s">
        <v>294</v>
      </c>
      <c r="D28" s="548"/>
      <c r="E28" s="620">
        <f>P.UNIT!AO457</f>
        <v>989.06673418919229</v>
      </c>
      <c r="F28" s="436"/>
      <c r="G28" s="170"/>
      <c r="H28" s="61"/>
      <c r="IQ28"/>
      <c r="IR28"/>
      <c r="IS28"/>
      <c r="IT28"/>
      <c r="IU28"/>
      <c r="IV28"/>
    </row>
    <row r="29" spans="1:256" ht="86.25" customHeight="1">
      <c r="A29" s="246" t="s">
        <v>965</v>
      </c>
      <c r="B29" s="551" t="s">
        <v>1234</v>
      </c>
      <c r="C29" s="441" t="s">
        <v>294</v>
      </c>
      <c r="D29" s="548"/>
      <c r="E29" s="620">
        <f>P.UNIT!AV457</f>
        <v>688.94936050289812</v>
      </c>
      <c r="F29" s="436"/>
      <c r="G29" s="170"/>
      <c r="H29" s="61"/>
      <c r="IQ29"/>
      <c r="IR29"/>
      <c r="IS29"/>
      <c r="IT29"/>
      <c r="IU29"/>
      <c r="IV29"/>
    </row>
    <row r="30" spans="1:256" ht="67.5" customHeight="1">
      <c r="A30" s="246" t="s">
        <v>966</v>
      </c>
      <c r="B30" s="551" t="s">
        <v>1235</v>
      </c>
      <c r="C30" s="441" t="s">
        <v>742</v>
      </c>
      <c r="D30" s="548"/>
      <c r="E30" s="620">
        <f>P.UNIT!BC457</f>
        <v>712.62300036316401</v>
      </c>
      <c r="F30" s="436"/>
      <c r="G30" s="170"/>
      <c r="H30" s="61"/>
      <c r="IQ30"/>
      <c r="IR30"/>
      <c r="IS30"/>
      <c r="IT30"/>
      <c r="IU30"/>
      <c r="IV30"/>
    </row>
    <row r="31" spans="1:256" ht="75" customHeight="1">
      <c r="A31" s="246" t="s">
        <v>967</v>
      </c>
      <c r="B31" s="551" t="s">
        <v>1236</v>
      </c>
      <c r="C31" s="246" t="s">
        <v>742</v>
      </c>
      <c r="D31" s="548"/>
      <c r="E31" s="620">
        <f>P.UNIT!BJ457</f>
        <v>864.87801705209847</v>
      </c>
      <c r="F31" s="436"/>
      <c r="G31" s="170"/>
      <c r="H31" s="61"/>
      <c r="IQ31"/>
      <c r="IR31"/>
      <c r="IS31"/>
      <c r="IT31"/>
      <c r="IU31"/>
      <c r="IV31"/>
    </row>
    <row r="32" spans="1:256" ht="19.5" customHeight="1">
      <c r="A32" s="793" t="s">
        <v>872</v>
      </c>
      <c r="B32" s="793"/>
      <c r="C32" s="793"/>
      <c r="D32" s="793"/>
      <c r="E32" s="793"/>
      <c r="F32" s="793"/>
      <c r="G32" s="170"/>
      <c r="H32" s="61"/>
      <c r="IQ32"/>
      <c r="IR32"/>
      <c r="IS32"/>
      <c r="IT32"/>
      <c r="IU32"/>
      <c r="IV32"/>
    </row>
    <row r="33" spans="1:256" ht="86.25" customHeight="1">
      <c r="A33" s="246" t="s">
        <v>52</v>
      </c>
      <c r="B33" s="438" t="s">
        <v>1181</v>
      </c>
      <c r="C33" s="246" t="s">
        <v>6</v>
      </c>
      <c r="D33" s="548"/>
      <c r="E33" s="619">
        <f>P.UNIT!F503</f>
        <v>340.95284653636355</v>
      </c>
      <c r="F33" s="436"/>
      <c r="G33" s="170"/>
      <c r="H33" s="61"/>
      <c r="IQ33"/>
      <c r="IR33"/>
      <c r="IS33"/>
      <c r="IT33"/>
      <c r="IU33"/>
      <c r="IV33"/>
    </row>
    <row r="34" spans="1:256" ht="58.5" hidden="1" customHeight="1">
      <c r="A34" s="246" t="s">
        <v>831</v>
      </c>
      <c r="B34" s="247" t="s">
        <v>832</v>
      </c>
      <c r="C34" s="246" t="s">
        <v>294</v>
      </c>
      <c r="D34" s="669"/>
      <c r="E34" s="620">
        <f>P.UNIT!T503</f>
        <v>76.146884179999986</v>
      </c>
      <c r="F34" s="436"/>
      <c r="G34" s="170"/>
      <c r="H34" s="61"/>
      <c r="IQ34"/>
      <c r="IR34"/>
      <c r="IS34"/>
      <c r="IT34"/>
      <c r="IU34"/>
      <c r="IV34"/>
    </row>
    <row r="35" spans="1:256" ht="61.5" customHeight="1">
      <c r="A35" s="437" t="s">
        <v>834</v>
      </c>
      <c r="B35" s="561" t="s">
        <v>1360</v>
      </c>
      <c r="C35" s="246" t="s">
        <v>6</v>
      </c>
      <c r="D35" s="548"/>
      <c r="E35" s="620">
        <f>P.UNIT!AA503</f>
        <v>74.673655033703696</v>
      </c>
      <c r="F35" s="436"/>
      <c r="G35" s="170"/>
      <c r="H35" s="61"/>
      <c r="IQ35"/>
      <c r="IR35"/>
      <c r="IS35"/>
      <c r="IT35"/>
      <c r="IU35"/>
      <c r="IV35"/>
    </row>
    <row r="36" spans="1:256" ht="106.5" customHeight="1">
      <c r="A36" s="246" t="s">
        <v>835</v>
      </c>
      <c r="B36" s="438" t="s">
        <v>1182</v>
      </c>
      <c r="C36" s="246" t="s">
        <v>6</v>
      </c>
      <c r="D36" s="548"/>
      <c r="E36" s="619">
        <f>P.UNIT!AH503</f>
        <v>62.687890439908763</v>
      </c>
      <c r="F36" s="436"/>
      <c r="G36" s="170"/>
      <c r="H36" s="61"/>
      <c r="IQ36"/>
      <c r="IR36"/>
      <c r="IS36"/>
      <c r="IT36"/>
      <c r="IU36"/>
      <c r="IV36"/>
    </row>
    <row r="37" spans="1:256" ht="78" customHeight="1">
      <c r="A37" s="437" t="s">
        <v>836</v>
      </c>
      <c r="B37" s="247" t="s">
        <v>909</v>
      </c>
      <c r="C37" s="246" t="s">
        <v>6</v>
      </c>
      <c r="D37" s="548"/>
      <c r="E37" s="620">
        <f>P.UNIT!AO503</f>
        <v>104.29058530041665</v>
      </c>
      <c r="F37" s="436"/>
      <c r="G37" s="170"/>
      <c r="H37" s="61"/>
      <c r="IQ37"/>
      <c r="IR37"/>
      <c r="IS37"/>
      <c r="IT37"/>
      <c r="IU37"/>
      <c r="IV37"/>
    </row>
    <row r="38" spans="1:256" ht="109.5" customHeight="1">
      <c r="A38" s="246" t="s">
        <v>837</v>
      </c>
      <c r="B38" s="438" t="s">
        <v>1183</v>
      </c>
      <c r="C38" s="246" t="s">
        <v>6</v>
      </c>
      <c r="D38" s="548"/>
      <c r="E38" s="620">
        <f>P.UNIT!AV503</f>
        <v>115.59370170392543</v>
      </c>
      <c r="F38" s="436"/>
      <c r="G38" s="562"/>
      <c r="H38" s="61"/>
      <c r="IQ38"/>
      <c r="IR38"/>
      <c r="IS38"/>
      <c r="IT38"/>
      <c r="IU38"/>
      <c r="IV38"/>
    </row>
    <row r="39" spans="1:256" ht="81.75" customHeight="1">
      <c r="A39" s="246" t="s">
        <v>838</v>
      </c>
      <c r="B39" s="247" t="s">
        <v>839</v>
      </c>
      <c r="C39" s="246" t="s">
        <v>6</v>
      </c>
      <c r="D39" s="548"/>
      <c r="E39" s="620">
        <f>P.UNIT!BC503</f>
        <v>115.59370170392543</v>
      </c>
      <c r="F39" s="436"/>
      <c r="G39" s="170"/>
      <c r="H39" s="61"/>
      <c r="IQ39"/>
      <c r="IR39"/>
      <c r="IS39"/>
      <c r="IT39"/>
      <c r="IU39"/>
      <c r="IV39"/>
    </row>
    <row r="40" spans="1:256" ht="88.5" customHeight="1">
      <c r="A40" s="246" t="s">
        <v>840</v>
      </c>
      <c r="B40" s="438" t="s">
        <v>865</v>
      </c>
      <c r="C40" s="246" t="s">
        <v>6</v>
      </c>
      <c r="D40" s="548"/>
      <c r="E40" s="619">
        <f>P.UNIT!BJ503</f>
        <v>397.02851833636356</v>
      </c>
      <c r="F40" s="436"/>
      <c r="G40" s="170"/>
      <c r="H40" s="61"/>
      <c r="IQ40"/>
      <c r="IR40"/>
      <c r="IS40"/>
      <c r="IT40"/>
      <c r="IU40"/>
      <c r="IV40"/>
    </row>
    <row r="41" spans="1:256" ht="78.75" customHeight="1">
      <c r="A41" s="246" t="s">
        <v>841</v>
      </c>
      <c r="B41" s="438" t="s">
        <v>866</v>
      </c>
      <c r="C41" s="246" t="s">
        <v>6</v>
      </c>
      <c r="D41" s="548"/>
      <c r="E41" s="620">
        <f>P.UNIT!BQ503</f>
        <v>354.23374960636357</v>
      </c>
      <c r="F41" s="439"/>
      <c r="G41" s="170"/>
      <c r="H41" s="61"/>
      <c r="IQ41"/>
      <c r="IR41"/>
      <c r="IS41"/>
      <c r="IT41"/>
      <c r="IU41"/>
      <c r="IV41"/>
    </row>
    <row r="42" spans="1:256" ht="83.25" customHeight="1">
      <c r="A42" s="246" t="s">
        <v>842</v>
      </c>
      <c r="B42" s="438" t="s">
        <v>867</v>
      </c>
      <c r="C42" s="246" t="s">
        <v>6</v>
      </c>
      <c r="D42" s="548"/>
      <c r="E42" s="620">
        <f>P.UNIT!BX503</f>
        <v>222.35445346999998</v>
      </c>
      <c r="F42" s="439"/>
      <c r="G42" s="136"/>
      <c r="IQ42"/>
      <c r="IR42"/>
      <c r="IS42"/>
      <c r="IT42"/>
      <c r="IU42"/>
      <c r="IV42"/>
    </row>
    <row r="43" spans="1:256" ht="83.25" customHeight="1">
      <c r="A43" s="441" t="s">
        <v>1472</v>
      </c>
      <c r="B43" s="665" t="s">
        <v>1473</v>
      </c>
      <c r="C43" s="668" t="s">
        <v>294</v>
      </c>
      <c r="D43" s="667"/>
      <c r="E43" s="667"/>
      <c r="F43" s="667"/>
      <c r="G43" s="666"/>
      <c r="H43" s="666"/>
      <c r="I43" s="666"/>
      <c r="J43" s="666"/>
      <c r="K43" s="666"/>
      <c r="L43" s="666"/>
      <c r="IQ43"/>
      <c r="IR43"/>
      <c r="IS43"/>
      <c r="IT43"/>
      <c r="IU43"/>
      <c r="IV43"/>
    </row>
    <row r="44" spans="1:256" ht="27.75" customHeight="1">
      <c r="A44" s="793" t="s">
        <v>1225</v>
      </c>
      <c r="B44" s="793"/>
      <c r="C44" s="793"/>
      <c r="D44" s="793"/>
      <c r="E44" s="793"/>
      <c r="F44" s="793"/>
      <c r="G44" s="136"/>
      <c r="IQ44"/>
      <c r="IR44"/>
      <c r="IS44"/>
      <c r="IT44"/>
      <c r="IU44"/>
      <c r="IV44"/>
    </row>
    <row r="45" spans="1:256" ht="98.25" customHeight="1">
      <c r="A45" s="440" t="s">
        <v>1033</v>
      </c>
      <c r="B45" s="438" t="s">
        <v>876</v>
      </c>
      <c r="C45" s="246" t="s">
        <v>907</v>
      </c>
      <c r="D45" s="563"/>
      <c r="E45" s="619">
        <f>P.UNIT!F551</f>
        <v>1663.4021566594713</v>
      </c>
      <c r="F45" s="439"/>
      <c r="G45" s="136"/>
      <c r="IQ45"/>
      <c r="IR45"/>
      <c r="IS45"/>
      <c r="IT45"/>
      <c r="IU45"/>
      <c r="IV45"/>
    </row>
    <row r="46" spans="1:256" ht="84.75" customHeight="1">
      <c r="A46" s="440" t="s">
        <v>1062</v>
      </c>
      <c r="B46" s="438" t="s">
        <v>944</v>
      </c>
      <c r="C46" s="440" t="s">
        <v>907</v>
      </c>
      <c r="D46" s="564"/>
      <c r="E46" s="619">
        <f>P.UNIT!M551</f>
        <v>1272.9052694348018</v>
      </c>
      <c r="F46" s="439"/>
      <c r="G46" s="136"/>
      <c r="IQ46"/>
      <c r="IR46"/>
      <c r="IS46"/>
      <c r="IT46"/>
      <c r="IU46"/>
      <c r="IV46"/>
    </row>
    <row r="47" spans="1:256" ht="57.6">
      <c r="A47" s="440" t="s">
        <v>1154</v>
      </c>
      <c r="B47" s="438" t="s">
        <v>943</v>
      </c>
      <c r="C47" s="440" t="s">
        <v>907</v>
      </c>
      <c r="D47" s="564"/>
      <c r="E47" s="619">
        <f>P.UNIT!T551</f>
        <v>5525.9185889942728</v>
      </c>
      <c r="F47" s="439"/>
      <c r="G47" s="136"/>
      <c r="IQ47"/>
      <c r="IR47"/>
      <c r="IS47"/>
      <c r="IT47"/>
      <c r="IU47"/>
      <c r="IV47"/>
    </row>
    <row r="48" spans="1:256" ht="107.4" customHeight="1">
      <c r="A48" s="440" t="s">
        <v>1156</v>
      </c>
      <c r="B48" s="561" t="s">
        <v>1184</v>
      </c>
      <c r="C48" s="440" t="s">
        <v>907</v>
      </c>
      <c r="D48" s="564"/>
      <c r="E48" s="619">
        <f>P.UNIT!AA551</f>
        <v>1584.2197694348024</v>
      </c>
      <c r="F48" s="439"/>
      <c r="G48" s="136"/>
      <c r="H48" s="543"/>
      <c r="IQ48"/>
      <c r="IR48"/>
      <c r="IS48"/>
      <c r="IT48"/>
      <c r="IU48"/>
      <c r="IV48"/>
    </row>
    <row r="49" spans="1:256" ht="107.4" customHeight="1">
      <c r="A49" s="440" t="s">
        <v>1158</v>
      </c>
      <c r="B49" s="561" t="s">
        <v>1185</v>
      </c>
      <c r="C49" s="440" t="s">
        <v>907</v>
      </c>
      <c r="D49" s="564"/>
      <c r="E49" s="619">
        <f>P.UNIT!AH551</f>
        <v>2486.8184566594714</v>
      </c>
      <c r="F49" s="439"/>
      <c r="G49" s="136"/>
      <c r="IQ49"/>
      <c r="IR49"/>
      <c r="IS49"/>
      <c r="IT49"/>
      <c r="IU49"/>
      <c r="IV49"/>
    </row>
    <row r="50" spans="1:256" ht="18.75" customHeight="1">
      <c r="A50" s="793" t="s">
        <v>1226</v>
      </c>
      <c r="B50" s="793"/>
      <c r="C50" s="793"/>
      <c r="D50" s="793"/>
      <c r="E50" s="793"/>
      <c r="F50" s="793"/>
      <c r="G50" s="136"/>
      <c r="IQ50"/>
      <c r="IR50"/>
      <c r="IS50"/>
      <c r="IT50"/>
      <c r="IU50"/>
      <c r="IV50"/>
    </row>
    <row r="51" spans="1:256" ht="96.75" customHeight="1">
      <c r="A51" s="440" t="s">
        <v>1048</v>
      </c>
      <c r="B51" s="561" t="s">
        <v>1227</v>
      </c>
      <c r="C51" s="440" t="s">
        <v>907</v>
      </c>
      <c r="D51" s="564"/>
      <c r="E51" s="619">
        <f>P.UNIT!F596</f>
        <v>336.66847157500001</v>
      </c>
      <c r="F51" s="439"/>
      <c r="G51" s="136"/>
      <c r="IQ51"/>
      <c r="IR51"/>
      <c r="IS51"/>
      <c r="IT51"/>
      <c r="IU51"/>
      <c r="IV51"/>
    </row>
    <row r="52" spans="1:256" ht="90.75" customHeight="1">
      <c r="A52" s="440" t="s">
        <v>1067</v>
      </c>
      <c r="B52" s="561" t="s">
        <v>1228</v>
      </c>
      <c r="C52" s="440" t="s">
        <v>907</v>
      </c>
      <c r="D52" s="564"/>
      <c r="E52" s="619">
        <f>P.UNIT!M596</f>
        <v>319.22041157499996</v>
      </c>
      <c r="F52" s="439"/>
      <c r="G52" s="136"/>
      <c r="IQ52"/>
      <c r="IR52"/>
      <c r="IS52"/>
      <c r="IT52"/>
      <c r="IU52"/>
      <c r="IV52"/>
    </row>
    <row r="53" spans="1:256" ht="87.75" customHeight="1">
      <c r="A53" s="440" t="s">
        <v>1170</v>
      </c>
      <c r="B53" s="561" t="s">
        <v>1229</v>
      </c>
      <c r="C53" s="440" t="s">
        <v>907</v>
      </c>
      <c r="D53" s="564"/>
      <c r="E53" s="619">
        <f>P.UNIT!T596</f>
        <v>409.31198657499999</v>
      </c>
      <c r="F53" s="439"/>
      <c r="G53" s="136"/>
      <c r="IQ53"/>
      <c r="IR53"/>
      <c r="IS53"/>
      <c r="IT53"/>
      <c r="IU53"/>
      <c r="IV53"/>
    </row>
    <row r="54" spans="1:256" ht="107.4" customHeight="1">
      <c r="A54" s="440" t="s">
        <v>1169</v>
      </c>
      <c r="B54" s="561" t="s">
        <v>1230</v>
      </c>
      <c r="C54" s="440" t="s">
        <v>907</v>
      </c>
      <c r="D54" s="564"/>
      <c r="E54" s="619">
        <f>P.UNIT!AA596</f>
        <v>423.66811157500001</v>
      </c>
      <c r="F54" s="439"/>
      <c r="G54" s="136"/>
      <c r="IQ54"/>
      <c r="IR54"/>
      <c r="IS54"/>
      <c r="IT54"/>
      <c r="IU54"/>
      <c r="IV54"/>
    </row>
    <row r="55" spans="1:256" ht="107.4" customHeight="1">
      <c r="A55" s="440" t="s">
        <v>1168</v>
      </c>
      <c r="B55" s="561" t="s">
        <v>1231</v>
      </c>
      <c r="C55" s="440" t="s">
        <v>907</v>
      </c>
      <c r="D55" s="564"/>
      <c r="E55" s="619">
        <f>P.UNIT!AH596</f>
        <v>434.00452157500001</v>
      </c>
      <c r="F55" s="439"/>
      <c r="G55" s="136"/>
      <c r="IQ55"/>
      <c r="IR55"/>
      <c r="IS55"/>
      <c r="IT55"/>
      <c r="IU55"/>
      <c r="IV55"/>
    </row>
    <row r="56" spans="1:256" ht="107.4" customHeight="1">
      <c r="A56" s="432" t="s">
        <v>1317</v>
      </c>
      <c r="B56" s="561" t="s">
        <v>1316</v>
      </c>
      <c r="C56" s="440" t="s">
        <v>907</v>
      </c>
      <c r="D56" s="564"/>
      <c r="E56" s="619">
        <f>P.UNIT!AV596</f>
        <v>464.13751157499996</v>
      </c>
      <c r="F56" s="439"/>
      <c r="G56" s="136"/>
      <c r="IQ56"/>
      <c r="IR56"/>
      <c r="IS56"/>
      <c r="IT56"/>
      <c r="IU56"/>
      <c r="IV56"/>
    </row>
    <row r="57" spans="1:256" ht="21" customHeight="1">
      <c r="A57" s="793" t="s">
        <v>945</v>
      </c>
      <c r="B57" s="793"/>
      <c r="C57" s="793"/>
      <c r="D57" s="793"/>
      <c r="E57" s="793"/>
      <c r="F57" s="793"/>
      <c r="G57" s="136"/>
      <c r="IQ57"/>
      <c r="IR57"/>
      <c r="IS57"/>
      <c r="IT57"/>
      <c r="IU57"/>
      <c r="IV57"/>
    </row>
    <row r="58" spans="1:256" ht="105" customHeight="1">
      <c r="A58" s="440" t="s">
        <v>946</v>
      </c>
      <c r="B58" s="438" t="s">
        <v>1365</v>
      </c>
      <c r="C58" s="440" t="s">
        <v>907</v>
      </c>
      <c r="D58" s="578"/>
      <c r="E58" s="619"/>
      <c r="F58" s="439"/>
      <c r="G58" s="136"/>
      <c r="IQ58"/>
      <c r="IR58"/>
      <c r="IS58"/>
      <c r="IT58"/>
      <c r="IU58"/>
      <c r="IV58"/>
    </row>
    <row r="59" spans="1:256" ht="105" customHeight="1">
      <c r="A59" s="440" t="s">
        <v>948</v>
      </c>
      <c r="B59" s="438" t="s">
        <v>1366</v>
      </c>
      <c r="C59" s="440" t="s">
        <v>907</v>
      </c>
      <c r="D59" s="578"/>
      <c r="E59" s="619"/>
      <c r="F59" s="439"/>
      <c r="G59" s="136"/>
      <c r="IQ59"/>
      <c r="IR59"/>
      <c r="IS59"/>
      <c r="IT59"/>
      <c r="IU59"/>
      <c r="IV59"/>
    </row>
    <row r="60" spans="1:256" ht="84.75" customHeight="1">
      <c r="A60" s="440" t="s">
        <v>949</v>
      </c>
      <c r="B60" s="438" t="s">
        <v>1372</v>
      </c>
      <c r="C60" s="440" t="s">
        <v>907</v>
      </c>
      <c r="D60" s="439"/>
      <c r="E60" s="619"/>
      <c r="F60" s="439"/>
      <c r="G60" s="136"/>
      <c r="IQ60"/>
      <c r="IR60"/>
      <c r="IS60"/>
      <c r="IT60"/>
      <c r="IU60"/>
      <c r="IV60"/>
    </row>
    <row r="61" spans="1:256" ht="81.75" customHeight="1">
      <c r="A61" s="440" t="s">
        <v>950</v>
      </c>
      <c r="B61" s="438" t="s">
        <v>947</v>
      </c>
      <c r="C61" s="440" t="s">
        <v>907</v>
      </c>
      <c r="D61" s="439"/>
      <c r="E61" s="619"/>
      <c r="F61" s="439"/>
      <c r="G61" s="136"/>
      <c r="IQ61"/>
      <c r="IR61"/>
      <c r="IS61"/>
      <c r="IT61"/>
      <c r="IU61"/>
      <c r="IV61"/>
    </row>
    <row r="62" spans="1:256" ht="74.25" customHeight="1">
      <c r="A62" s="440" t="s">
        <v>951</v>
      </c>
      <c r="B62" s="438" t="s">
        <v>1375</v>
      </c>
      <c r="C62" s="440" t="s">
        <v>907</v>
      </c>
      <c r="D62" s="578"/>
      <c r="E62" s="619"/>
      <c r="F62" s="439"/>
      <c r="G62" s="136"/>
      <c r="IQ62"/>
      <c r="IR62"/>
      <c r="IS62"/>
      <c r="IT62"/>
      <c r="IU62"/>
      <c r="IV62"/>
    </row>
    <row r="63" spans="1:256" ht="68.25" customHeight="1">
      <c r="A63" s="440" t="s">
        <v>952</v>
      </c>
      <c r="B63" s="593" t="s">
        <v>1373</v>
      </c>
      <c r="C63" s="440" t="s">
        <v>907</v>
      </c>
      <c r="D63" s="578"/>
      <c r="E63" s="619"/>
      <c r="F63" s="439"/>
      <c r="G63" s="136"/>
      <c r="IQ63"/>
      <c r="IR63"/>
      <c r="IS63"/>
      <c r="IT63"/>
      <c r="IU63"/>
      <c r="IV63"/>
    </row>
    <row r="64" spans="1:256" ht="73.5" customHeight="1">
      <c r="A64" s="565" t="s">
        <v>1186</v>
      </c>
      <c r="B64" s="593" t="s">
        <v>1187</v>
      </c>
      <c r="C64" s="566" t="s">
        <v>907</v>
      </c>
      <c r="D64" s="567"/>
      <c r="E64" s="622"/>
      <c r="F64" s="568"/>
      <c r="G64" s="136"/>
      <c r="IQ64"/>
      <c r="IR64"/>
      <c r="IS64"/>
      <c r="IT64"/>
      <c r="IU64"/>
      <c r="IV64"/>
    </row>
    <row r="65" spans="1:256" ht="49.5" customHeight="1">
      <c r="A65" s="565" t="s">
        <v>1188</v>
      </c>
      <c r="B65" s="593" t="s">
        <v>1392</v>
      </c>
      <c r="C65" s="566" t="s">
        <v>907</v>
      </c>
      <c r="D65" s="567"/>
      <c r="E65" s="622"/>
      <c r="F65" s="568"/>
      <c r="G65" s="136"/>
      <c r="IQ65"/>
      <c r="IR65"/>
      <c r="IS65"/>
      <c r="IT65"/>
      <c r="IU65"/>
      <c r="IV65"/>
    </row>
    <row r="66" spans="1:256" ht="79.5" customHeight="1">
      <c r="A66" s="565" t="s">
        <v>1189</v>
      </c>
      <c r="B66" s="593" t="s">
        <v>1190</v>
      </c>
      <c r="C66" s="566" t="s">
        <v>907</v>
      </c>
      <c r="D66" s="567"/>
      <c r="E66" s="622"/>
      <c r="F66" s="568"/>
      <c r="G66" s="136"/>
      <c r="IQ66"/>
      <c r="IR66"/>
      <c r="IS66"/>
      <c r="IT66"/>
      <c r="IU66"/>
      <c r="IV66"/>
    </row>
    <row r="67" spans="1:256" ht="79.5" customHeight="1">
      <c r="A67" s="565" t="s">
        <v>1363</v>
      </c>
      <c r="B67" s="593" t="s">
        <v>1374</v>
      </c>
      <c r="C67" s="566" t="s">
        <v>907</v>
      </c>
      <c r="D67" s="567"/>
      <c r="E67" s="622"/>
      <c r="F67" s="568"/>
      <c r="G67" s="136"/>
      <c r="IQ67"/>
      <c r="IR67"/>
      <c r="IS67"/>
      <c r="IT67"/>
      <c r="IU67"/>
      <c r="IV67"/>
    </row>
    <row r="68" spans="1:256" ht="79.5" customHeight="1">
      <c r="A68" s="565" t="s">
        <v>1364</v>
      </c>
      <c r="B68" s="438" t="s">
        <v>1376</v>
      </c>
      <c r="C68" s="566" t="s">
        <v>907</v>
      </c>
      <c r="D68" s="567"/>
      <c r="E68" s="622"/>
      <c r="F68" s="568"/>
      <c r="G68" s="136"/>
      <c r="IQ68"/>
      <c r="IR68"/>
      <c r="IS68"/>
      <c r="IT68"/>
      <c r="IU68"/>
      <c r="IV68"/>
    </row>
    <row r="69" spans="1:256" ht="79.5" customHeight="1">
      <c r="A69" s="565" t="s">
        <v>1369</v>
      </c>
      <c r="B69" s="438" t="s">
        <v>1377</v>
      </c>
      <c r="C69" s="440" t="s">
        <v>907</v>
      </c>
      <c r="D69" s="567"/>
      <c r="E69" s="622"/>
      <c r="F69" s="568"/>
      <c r="G69" s="136"/>
      <c r="IQ69"/>
      <c r="IR69"/>
      <c r="IS69"/>
      <c r="IT69"/>
      <c r="IU69"/>
      <c r="IV69"/>
    </row>
    <row r="70" spans="1:256" ht="79.5" customHeight="1">
      <c r="A70" s="565" t="s">
        <v>1370</v>
      </c>
      <c r="B70" s="593" t="s">
        <v>1367</v>
      </c>
      <c r="C70" s="440" t="s">
        <v>907</v>
      </c>
      <c r="D70" s="567"/>
      <c r="E70" s="622"/>
      <c r="F70" s="568"/>
      <c r="G70" s="136"/>
      <c r="IQ70"/>
      <c r="IR70"/>
      <c r="IS70"/>
      <c r="IT70"/>
      <c r="IU70"/>
      <c r="IV70"/>
    </row>
    <row r="71" spans="1:256" ht="79.5" customHeight="1">
      <c r="A71" s="565" t="s">
        <v>1371</v>
      </c>
      <c r="B71" s="593" t="s">
        <v>1368</v>
      </c>
      <c r="C71" s="440" t="s">
        <v>907</v>
      </c>
      <c r="D71" s="567"/>
      <c r="E71" s="622"/>
      <c r="F71" s="568"/>
      <c r="G71" s="136"/>
      <c r="IQ71"/>
      <c r="IR71"/>
      <c r="IS71"/>
      <c r="IT71"/>
      <c r="IU71"/>
      <c r="IV71"/>
    </row>
    <row r="72" spans="1:256" ht="27.75" customHeight="1">
      <c r="A72" s="793" t="s">
        <v>1191</v>
      </c>
      <c r="B72" s="793"/>
      <c r="C72" s="793"/>
      <c r="D72" s="793"/>
      <c r="E72" s="793"/>
      <c r="F72" s="793"/>
      <c r="G72" s="136"/>
      <c r="IQ72"/>
      <c r="IR72"/>
      <c r="IS72"/>
      <c r="IT72"/>
      <c r="IU72"/>
      <c r="IV72"/>
    </row>
    <row r="73" spans="1:256" ht="60.75" customHeight="1">
      <c r="A73" s="440" t="s">
        <v>565</v>
      </c>
      <c r="B73" s="569" t="s">
        <v>1384</v>
      </c>
      <c r="C73" s="440" t="s">
        <v>1192</v>
      </c>
      <c r="D73" s="638"/>
      <c r="E73" s="638"/>
      <c r="F73" s="638"/>
      <c r="G73" s="136"/>
      <c r="IQ73"/>
      <c r="IR73"/>
      <c r="IS73"/>
      <c r="IT73"/>
      <c r="IU73"/>
      <c r="IV73"/>
    </row>
    <row r="74" spans="1:256" ht="65.25" customHeight="1">
      <c r="A74" s="440" t="s">
        <v>1092</v>
      </c>
      <c r="B74" s="569" t="s">
        <v>1389</v>
      </c>
      <c r="C74" s="440" t="s">
        <v>1192</v>
      </c>
      <c r="D74" s="541"/>
      <c r="E74" s="623"/>
      <c r="F74" s="541"/>
      <c r="G74" s="136"/>
      <c r="IQ74"/>
      <c r="IR74"/>
      <c r="IS74"/>
      <c r="IT74"/>
      <c r="IU74"/>
      <c r="IV74"/>
    </row>
    <row r="75" spans="1:256" ht="26.25" customHeight="1">
      <c r="A75" s="798" t="s">
        <v>913</v>
      </c>
      <c r="B75" s="799"/>
      <c r="C75" s="799"/>
      <c r="D75" s="799"/>
      <c r="E75" s="799"/>
      <c r="F75" s="800"/>
      <c r="G75" s="136"/>
      <c r="IQ75"/>
      <c r="IR75"/>
      <c r="IS75"/>
      <c r="IT75"/>
      <c r="IU75"/>
      <c r="IV75"/>
    </row>
    <row r="76" spans="1:256" ht="59.25" customHeight="1">
      <c r="A76" s="440" t="s">
        <v>24</v>
      </c>
      <c r="B76" s="569" t="s">
        <v>1193</v>
      </c>
      <c r="C76" s="440" t="s">
        <v>742</v>
      </c>
      <c r="D76" s="570"/>
      <c r="E76" s="623"/>
      <c r="F76" s="541"/>
      <c r="G76" s="136"/>
      <c r="IQ76"/>
      <c r="IR76"/>
      <c r="IS76"/>
      <c r="IT76"/>
      <c r="IU76"/>
      <c r="IV76"/>
    </row>
    <row r="77" spans="1:256" ht="58.5" customHeight="1">
      <c r="A77" s="440" t="s">
        <v>916</v>
      </c>
      <c r="B77" s="569" t="s">
        <v>1194</v>
      </c>
      <c r="C77" s="455" t="s">
        <v>742</v>
      </c>
      <c r="D77" s="570"/>
      <c r="E77" s="623"/>
      <c r="F77" s="541"/>
      <c r="G77" s="136"/>
      <c r="IQ77"/>
      <c r="IR77"/>
      <c r="IS77"/>
      <c r="IT77"/>
      <c r="IU77"/>
      <c r="IV77"/>
    </row>
    <row r="78" spans="1:256" ht="57.75" customHeight="1">
      <c r="A78" s="440" t="s">
        <v>917</v>
      </c>
      <c r="B78" s="569" t="s">
        <v>1195</v>
      </c>
      <c r="C78" s="440" t="s">
        <v>742</v>
      </c>
      <c r="D78" s="570"/>
      <c r="E78" s="623"/>
      <c r="F78" s="541"/>
      <c r="G78" s="136"/>
      <c r="IQ78"/>
      <c r="IR78"/>
      <c r="IS78"/>
      <c r="IT78"/>
      <c r="IU78"/>
      <c r="IV78"/>
    </row>
    <row r="79" spans="1:256" ht="64.5" customHeight="1">
      <c r="A79" s="440" t="s">
        <v>918</v>
      </c>
      <c r="B79" s="569" t="s">
        <v>1196</v>
      </c>
      <c r="C79" s="440" t="s">
        <v>742</v>
      </c>
      <c r="D79" s="570"/>
      <c r="E79" s="623"/>
      <c r="F79" s="541"/>
      <c r="G79" s="136"/>
      <c r="IQ79"/>
      <c r="IR79"/>
      <c r="IS79"/>
      <c r="IT79"/>
      <c r="IU79"/>
      <c r="IV79"/>
    </row>
    <row r="80" spans="1:256" ht="66" customHeight="1">
      <c r="A80" s="440" t="s">
        <v>920</v>
      </c>
      <c r="B80" s="571" t="s">
        <v>919</v>
      </c>
      <c r="C80" s="440" t="s">
        <v>742</v>
      </c>
      <c r="D80" s="570"/>
      <c r="E80" s="623"/>
      <c r="F80" s="541"/>
      <c r="G80" s="136"/>
      <c r="IQ80"/>
      <c r="IR80"/>
      <c r="IS80"/>
      <c r="IT80"/>
      <c r="IU80"/>
      <c r="IV80"/>
    </row>
    <row r="81" spans="1:256" ht="23.25" customHeight="1">
      <c r="A81" s="793" t="s">
        <v>914</v>
      </c>
      <c r="B81" s="793"/>
      <c r="C81" s="793"/>
      <c r="D81" s="793"/>
      <c r="E81" s="793"/>
      <c r="F81" s="793"/>
      <c r="G81" s="136"/>
      <c r="IQ81"/>
      <c r="IR81"/>
      <c r="IS81"/>
      <c r="IT81"/>
      <c r="IU81"/>
      <c r="IV81"/>
    </row>
    <row r="82" spans="1:256" ht="84.75" customHeight="1">
      <c r="A82" s="440" t="s">
        <v>921</v>
      </c>
      <c r="B82" s="571" t="s">
        <v>922</v>
      </c>
      <c r="C82" s="440" t="s">
        <v>742</v>
      </c>
      <c r="D82" s="570"/>
      <c r="E82" s="623"/>
      <c r="F82" s="541"/>
      <c r="G82" s="136"/>
      <c r="IQ82"/>
      <c r="IR82"/>
      <c r="IS82"/>
      <c r="IT82"/>
      <c r="IU82"/>
      <c r="IV82"/>
    </row>
    <row r="83" spans="1:256" ht="95.25" customHeight="1">
      <c r="A83" s="440" t="s">
        <v>925</v>
      </c>
      <c r="B83" s="571" t="s">
        <v>923</v>
      </c>
      <c r="C83" s="440" t="s">
        <v>742</v>
      </c>
      <c r="D83" s="570"/>
      <c r="E83" s="623"/>
      <c r="F83" s="541"/>
      <c r="G83" s="136"/>
      <c r="IQ83"/>
      <c r="IR83"/>
      <c r="IS83"/>
      <c r="IT83"/>
      <c r="IU83"/>
      <c r="IV83"/>
    </row>
    <row r="84" spans="1:256" ht="26.25" customHeight="1">
      <c r="A84" s="793" t="s">
        <v>915</v>
      </c>
      <c r="B84" s="793"/>
      <c r="C84" s="793"/>
      <c r="D84" s="793"/>
      <c r="E84" s="793"/>
      <c r="F84" s="793"/>
      <c r="G84" s="136"/>
      <c r="IQ84"/>
      <c r="IR84"/>
      <c r="IS84"/>
      <c r="IT84"/>
      <c r="IU84"/>
      <c r="IV84"/>
    </row>
    <row r="85" spans="1:256" ht="81.75" customHeight="1">
      <c r="A85" s="440" t="s">
        <v>924</v>
      </c>
      <c r="B85" s="571" t="s">
        <v>1197</v>
      </c>
      <c r="C85" s="440" t="s">
        <v>742</v>
      </c>
      <c r="D85" s="570"/>
      <c r="E85" s="623"/>
      <c r="F85" s="541"/>
      <c r="G85" s="136"/>
      <c r="IQ85"/>
      <c r="IR85"/>
      <c r="IS85"/>
      <c r="IT85"/>
      <c r="IU85"/>
      <c r="IV85"/>
    </row>
    <row r="86" spans="1:256" ht="87" customHeight="1">
      <c r="A86" s="440" t="s">
        <v>926</v>
      </c>
      <c r="B86" s="571" t="s">
        <v>1198</v>
      </c>
      <c r="C86" s="440" t="s">
        <v>742</v>
      </c>
      <c r="D86" s="570"/>
      <c r="E86" s="623"/>
      <c r="F86" s="541"/>
      <c r="IQ86"/>
      <c r="IR86"/>
      <c r="IS86"/>
      <c r="IT86"/>
      <c r="IU86"/>
      <c r="IV86"/>
    </row>
    <row r="87" spans="1:256" ht="72.75" customHeight="1">
      <c r="A87" s="440" t="s">
        <v>927</v>
      </c>
      <c r="B87" s="571" t="s">
        <v>1199</v>
      </c>
      <c r="C87" s="440" t="s">
        <v>742</v>
      </c>
      <c r="D87" s="570"/>
      <c r="E87" s="623"/>
      <c r="F87" s="541"/>
      <c r="IQ87"/>
      <c r="IR87"/>
      <c r="IS87"/>
      <c r="IT87"/>
      <c r="IU87"/>
      <c r="IV87"/>
    </row>
    <row r="88" spans="1:256" ht="66.75" customHeight="1">
      <c r="A88" s="440" t="s">
        <v>928</v>
      </c>
      <c r="B88" s="571" t="s">
        <v>1200</v>
      </c>
      <c r="C88" s="440" t="s">
        <v>742</v>
      </c>
      <c r="D88" s="570"/>
      <c r="E88" s="623"/>
      <c r="F88" s="541"/>
      <c r="IQ88"/>
      <c r="IR88"/>
      <c r="IS88"/>
      <c r="IT88"/>
      <c r="IU88"/>
      <c r="IV88"/>
    </row>
    <row r="89" spans="1:256" ht="83.25" customHeight="1">
      <c r="A89" s="440" t="s">
        <v>929</v>
      </c>
      <c r="B89" s="571" t="s">
        <v>1201</v>
      </c>
      <c r="C89" s="440" t="s">
        <v>742</v>
      </c>
      <c r="D89" s="570"/>
      <c r="E89" s="623"/>
      <c r="F89" s="541"/>
      <c r="IQ89"/>
      <c r="IR89"/>
      <c r="IS89"/>
      <c r="IT89"/>
      <c r="IU89"/>
      <c r="IV89"/>
    </row>
    <row r="90" spans="1:256" ht="22.5" customHeight="1">
      <c r="A90" s="794" t="s">
        <v>1202</v>
      </c>
      <c r="B90" s="794"/>
      <c r="C90" s="794"/>
      <c r="D90" s="794"/>
      <c r="E90" s="794"/>
      <c r="F90" s="793"/>
      <c r="IQ90"/>
      <c r="IR90"/>
      <c r="IS90"/>
      <c r="IT90"/>
      <c r="IU90"/>
      <c r="IV90"/>
    </row>
    <row r="91" spans="1:256" ht="106.5" customHeight="1">
      <c r="A91" s="571" t="s">
        <v>1049</v>
      </c>
      <c r="B91" s="569" t="s">
        <v>1203</v>
      </c>
      <c r="C91" s="572" t="s">
        <v>742</v>
      </c>
      <c r="D91" s="594"/>
      <c r="E91" s="622">
        <f>P.UNIT!F641</f>
        <v>862.7311740749999</v>
      </c>
      <c r="F91" s="574"/>
      <c r="IQ91"/>
      <c r="IR91"/>
      <c r="IS91"/>
      <c r="IT91"/>
      <c r="IU91"/>
      <c r="IV91"/>
    </row>
    <row r="92" spans="1:256" ht="66" customHeight="1">
      <c r="A92" s="571" t="s">
        <v>1204</v>
      </c>
      <c r="B92" s="598" t="s">
        <v>1288</v>
      </c>
      <c r="C92" s="572" t="s">
        <v>742</v>
      </c>
      <c r="D92" s="596"/>
      <c r="E92" s="624">
        <f>P.UNIT!M641</f>
        <v>3254.0511740749998</v>
      </c>
      <c r="F92" s="541"/>
      <c r="IQ92"/>
      <c r="IR92"/>
      <c r="IS92"/>
      <c r="IT92"/>
      <c r="IU92"/>
      <c r="IV92"/>
    </row>
    <row r="93" spans="1:256" ht="66" customHeight="1">
      <c r="A93" s="571" t="s">
        <v>1206</v>
      </c>
      <c r="B93" s="598" t="s">
        <v>1298</v>
      </c>
      <c r="C93" s="572" t="s">
        <v>742</v>
      </c>
      <c r="D93" s="596"/>
      <c r="E93" s="624">
        <f>P.UNIT!T641</f>
        <v>3835.9411740749997</v>
      </c>
      <c r="F93" s="541"/>
      <c r="IQ93"/>
      <c r="IR93"/>
      <c r="IS93"/>
      <c r="IT93"/>
      <c r="IU93"/>
      <c r="IV93"/>
    </row>
    <row r="94" spans="1:256" ht="51.75" customHeight="1">
      <c r="A94" s="571" t="s">
        <v>1207</v>
      </c>
      <c r="B94" s="598" t="s">
        <v>1208</v>
      </c>
      <c r="C94" s="572" t="s">
        <v>742</v>
      </c>
      <c r="D94" s="596"/>
      <c r="E94" s="624">
        <f>P.UNIT!AA641</f>
        <v>3577.2611740749999</v>
      </c>
      <c r="F94" s="541"/>
      <c r="IQ94"/>
      <c r="IR94"/>
      <c r="IS94"/>
      <c r="IT94"/>
      <c r="IU94"/>
      <c r="IV94"/>
    </row>
    <row r="95" spans="1:256" ht="22.5" customHeight="1">
      <c r="A95" s="793" t="s">
        <v>1209</v>
      </c>
      <c r="B95" s="793"/>
      <c r="C95" s="793"/>
      <c r="D95" s="793"/>
      <c r="E95" s="793"/>
      <c r="F95" s="793"/>
      <c r="IQ95"/>
      <c r="IR95"/>
      <c r="IS95"/>
      <c r="IT95"/>
      <c r="IU95"/>
      <c r="IV95"/>
    </row>
    <row r="96" spans="1:256" ht="71.25" customHeight="1">
      <c r="A96" s="440" t="s">
        <v>1210</v>
      </c>
      <c r="B96" s="569" t="s">
        <v>1211</v>
      </c>
      <c r="C96" s="440" t="s">
        <v>742</v>
      </c>
      <c r="D96" s="633"/>
      <c r="E96" s="634">
        <f>P.UNIT!F686</f>
        <v>2816.959400745</v>
      </c>
      <c r="F96" s="541"/>
      <c r="IQ96"/>
      <c r="IR96"/>
      <c r="IS96"/>
      <c r="IT96"/>
      <c r="IU96"/>
      <c r="IV96"/>
    </row>
    <row r="97" spans="1:256" ht="54.75" customHeight="1">
      <c r="A97" s="440" t="s">
        <v>1212</v>
      </c>
      <c r="B97" s="569" t="s">
        <v>1213</v>
      </c>
      <c r="C97" s="440" t="s">
        <v>6</v>
      </c>
      <c r="D97" s="633"/>
      <c r="E97" s="634">
        <f>P.UNIT!M686</f>
        <v>100.19258785199999</v>
      </c>
      <c r="F97" s="541"/>
      <c r="IQ97"/>
      <c r="IR97"/>
      <c r="IS97"/>
      <c r="IT97"/>
      <c r="IU97"/>
      <c r="IV97"/>
    </row>
    <row r="98" spans="1:256" ht="19.5" customHeight="1">
      <c r="A98" s="801" t="s">
        <v>954</v>
      </c>
      <c r="B98" s="801"/>
      <c r="C98" s="801"/>
      <c r="D98" s="801"/>
      <c r="E98" s="801"/>
      <c r="F98" s="801"/>
      <c r="IQ98"/>
      <c r="IR98"/>
      <c r="IS98"/>
      <c r="IT98"/>
      <c r="IU98"/>
      <c r="IV98"/>
    </row>
    <row r="99" spans="1:256" ht="22.5" customHeight="1">
      <c r="A99" s="793" t="s">
        <v>884</v>
      </c>
      <c r="B99" s="793"/>
      <c r="C99" s="793"/>
      <c r="D99" s="793"/>
      <c r="E99" s="793"/>
      <c r="F99" s="793"/>
      <c r="IQ99"/>
      <c r="IR99"/>
      <c r="IS99"/>
      <c r="IT99"/>
      <c r="IU99"/>
      <c r="IV99"/>
    </row>
    <row r="100" spans="1:256" ht="93" customHeight="1">
      <c r="A100" s="441" t="s">
        <v>7</v>
      </c>
      <c r="B100" s="435" t="s">
        <v>880</v>
      </c>
      <c r="C100" s="441" t="s">
        <v>6</v>
      </c>
      <c r="D100" s="559" t="s">
        <v>1177</v>
      </c>
      <c r="E100" s="619">
        <f>P.UNIT!M458</f>
        <v>294.34874794500001</v>
      </c>
      <c r="F100" s="436"/>
      <c r="IQ100"/>
      <c r="IR100"/>
      <c r="IS100"/>
      <c r="IT100"/>
      <c r="IU100"/>
      <c r="IV100"/>
    </row>
    <row r="101" spans="1:256" ht="111.75" customHeight="1">
      <c r="A101" s="441" t="s">
        <v>881</v>
      </c>
      <c r="B101" s="435" t="s">
        <v>882</v>
      </c>
      <c r="C101" s="441" t="s">
        <v>6</v>
      </c>
      <c r="D101" s="559" t="s">
        <v>1177</v>
      </c>
      <c r="E101" s="619">
        <f>P.UNIT!T457</f>
        <v>540.73007557463222</v>
      </c>
      <c r="F101" s="436"/>
      <c r="IQ101"/>
      <c r="IR101"/>
      <c r="IS101"/>
      <c r="IT101"/>
      <c r="IU101"/>
      <c r="IV101"/>
    </row>
    <row r="102" spans="1:256" ht="79.5" customHeight="1">
      <c r="A102" s="440" t="s">
        <v>886</v>
      </c>
      <c r="B102" s="435" t="s">
        <v>1214</v>
      </c>
      <c r="C102" s="441" t="s">
        <v>6</v>
      </c>
      <c r="D102" s="560" t="s">
        <v>1177</v>
      </c>
      <c r="E102" s="619">
        <f>P.UNIT!AA458</f>
        <v>1129.4669880856231</v>
      </c>
      <c r="F102" s="439"/>
      <c r="IQ102"/>
      <c r="IR102"/>
      <c r="IS102"/>
      <c r="IT102"/>
      <c r="IU102"/>
      <c r="IV102"/>
    </row>
    <row r="103" spans="1:256" ht="79.5" customHeight="1">
      <c r="A103" s="246" t="s">
        <v>966</v>
      </c>
      <c r="B103" s="551" t="s">
        <v>1235</v>
      </c>
      <c r="C103" s="441" t="s">
        <v>742</v>
      </c>
      <c r="D103" s="548"/>
      <c r="E103" s="620">
        <f>P.UNIT!BC457</f>
        <v>712.62300036316401</v>
      </c>
      <c r="F103" s="439"/>
      <c r="IQ103"/>
      <c r="IR103"/>
      <c r="IS103"/>
      <c r="IT103"/>
      <c r="IU103"/>
      <c r="IV103"/>
    </row>
    <row r="104" spans="1:256" ht="79.5" customHeight="1">
      <c r="A104" s="246" t="s">
        <v>967</v>
      </c>
      <c r="B104" s="551" t="s">
        <v>1236</v>
      </c>
      <c r="C104" s="246" t="s">
        <v>742</v>
      </c>
      <c r="D104" s="548"/>
      <c r="E104" s="620">
        <f>P.UNIT!BJ457</f>
        <v>864.87801705209847</v>
      </c>
      <c r="F104" s="439"/>
      <c r="IQ104"/>
      <c r="IR104"/>
      <c r="IS104"/>
      <c r="IT104"/>
      <c r="IU104"/>
      <c r="IV104"/>
    </row>
    <row r="105" spans="1:256" ht="18" customHeight="1">
      <c r="A105" s="793" t="s">
        <v>872</v>
      </c>
      <c r="B105" s="793"/>
      <c r="C105" s="793"/>
      <c r="D105" s="793"/>
      <c r="E105" s="793"/>
      <c r="F105" s="793"/>
      <c r="IQ105"/>
      <c r="IR105"/>
      <c r="IS105"/>
      <c r="IT105"/>
      <c r="IU105"/>
      <c r="IV105"/>
    </row>
    <row r="106" spans="1:256" ht="75.75" customHeight="1">
      <c r="A106" s="246" t="s">
        <v>52</v>
      </c>
      <c r="B106" s="438" t="s">
        <v>1215</v>
      </c>
      <c r="C106" s="246" t="s">
        <v>6</v>
      </c>
      <c r="D106" s="559" t="s">
        <v>1177</v>
      </c>
      <c r="E106" s="619">
        <f>P.UNIT!F503</f>
        <v>340.95284653636355</v>
      </c>
      <c r="F106" s="436"/>
      <c r="IQ106"/>
      <c r="IR106"/>
      <c r="IS106"/>
      <c r="IT106"/>
      <c r="IU106"/>
      <c r="IV106"/>
    </row>
    <row r="107" spans="1:256" ht="81" customHeight="1">
      <c r="A107" s="246" t="s">
        <v>54</v>
      </c>
      <c r="B107" s="247" t="s">
        <v>830</v>
      </c>
      <c r="C107" s="246" t="s">
        <v>6</v>
      </c>
      <c r="D107" s="548" t="s">
        <v>1177</v>
      </c>
      <c r="E107" s="619">
        <f>P.UNIT!M503</f>
        <v>204.90996547333333</v>
      </c>
      <c r="F107" s="436"/>
      <c r="IQ107"/>
      <c r="IR107"/>
      <c r="IS107"/>
      <c r="IT107"/>
      <c r="IU107"/>
      <c r="IV107"/>
    </row>
    <row r="108" spans="1:256" ht="59.25" hidden="1" customHeight="1">
      <c r="A108" s="246" t="s">
        <v>831</v>
      </c>
      <c r="B108" s="247" t="s">
        <v>832</v>
      </c>
      <c r="C108" s="246" t="s">
        <v>294</v>
      </c>
      <c r="D108" s="669"/>
      <c r="E108" s="619">
        <f>P.UNIT!T503</f>
        <v>76.146884179999986</v>
      </c>
      <c r="F108" s="436"/>
      <c r="IQ108"/>
      <c r="IR108"/>
      <c r="IS108"/>
      <c r="IT108"/>
      <c r="IU108"/>
      <c r="IV108"/>
    </row>
    <row r="109" spans="1:256" ht="64.5" customHeight="1">
      <c r="A109" s="437" t="s">
        <v>834</v>
      </c>
      <c r="B109" s="438" t="s">
        <v>908</v>
      </c>
      <c r="C109" s="246" t="s">
        <v>6</v>
      </c>
      <c r="D109" s="548" t="s">
        <v>1177</v>
      </c>
      <c r="E109" s="619">
        <f>P.UNIT!AA503</f>
        <v>74.673655033703696</v>
      </c>
      <c r="F109" s="436"/>
      <c r="IQ109"/>
      <c r="IR109"/>
      <c r="IS109"/>
      <c r="IT109"/>
      <c r="IU109"/>
      <c r="IV109"/>
    </row>
    <row r="110" spans="1:256" ht="102" customHeight="1">
      <c r="A110" s="246" t="s">
        <v>835</v>
      </c>
      <c r="B110" s="438" t="s">
        <v>874</v>
      </c>
      <c r="C110" s="246" t="s">
        <v>6</v>
      </c>
      <c r="D110" s="559" t="s">
        <v>1177</v>
      </c>
      <c r="E110" s="619">
        <f>P.UNIT!AH503</f>
        <v>62.687890439908763</v>
      </c>
      <c r="F110" s="436"/>
      <c r="IQ110"/>
      <c r="IR110"/>
      <c r="IS110"/>
      <c r="IT110"/>
      <c r="IU110"/>
      <c r="IV110"/>
    </row>
    <row r="111" spans="1:256" ht="69.75" customHeight="1">
      <c r="A111" s="437" t="s">
        <v>836</v>
      </c>
      <c r="B111" s="247" t="s">
        <v>909</v>
      </c>
      <c r="C111" s="246" t="s">
        <v>6</v>
      </c>
      <c r="D111" s="548" t="s">
        <v>1177</v>
      </c>
      <c r="E111" s="619">
        <f>P.UNIT!AO503</f>
        <v>104.29058530041665</v>
      </c>
      <c r="F111" s="436"/>
      <c r="IQ111"/>
      <c r="IR111"/>
      <c r="IS111"/>
      <c r="IT111"/>
      <c r="IU111"/>
      <c r="IV111"/>
    </row>
    <row r="112" spans="1:256" ht="81" customHeight="1">
      <c r="A112" s="246" t="s">
        <v>837</v>
      </c>
      <c r="B112" s="438" t="s">
        <v>871</v>
      </c>
      <c r="C112" s="246" t="s">
        <v>6</v>
      </c>
      <c r="D112" s="548" t="s">
        <v>1177</v>
      </c>
      <c r="E112" s="619">
        <f>P.UNIT!AV503</f>
        <v>115.59370170392543</v>
      </c>
      <c r="F112" s="436"/>
      <c r="G112" s="562"/>
      <c r="IQ112"/>
      <c r="IR112"/>
      <c r="IS112"/>
      <c r="IT112"/>
      <c r="IU112"/>
      <c r="IV112"/>
    </row>
    <row r="113" spans="1:256" ht="78" customHeight="1">
      <c r="A113" s="246" t="s">
        <v>838</v>
      </c>
      <c r="B113" s="247" t="s">
        <v>839</v>
      </c>
      <c r="C113" s="246" t="s">
        <v>6</v>
      </c>
      <c r="D113" s="548" t="s">
        <v>1177</v>
      </c>
      <c r="E113" s="619">
        <f>P.UNIT!BC503</f>
        <v>115.59370170392543</v>
      </c>
      <c r="F113" s="436"/>
      <c r="IQ113"/>
      <c r="IR113"/>
      <c r="IS113"/>
      <c r="IT113"/>
      <c r="IU113"/>
      <c r="IV113"/>
    </row>
    <row r="114" spans="1:256" ht="99.75" customHeight="1">
      <c r="A114" s="246" t="s">
        <v>840</v>
      </c>
      <c r="B114" s="438" t="s">
        <v>865</v>
      </c>
      <c r="C114" s="246" t="s">
        <v>6</v>
      </c>
      <c r="D114" s="576" t="s">
        <v>1177</v>
      </c>
      <c r="E114" s="619">
        <f>P.UNIT!BJ503</f>
        <v>397.02851833636356</v>
      </c>
      <c r="F114" s="436"/>
      <c r="IQ114"/>
      <c r="IR114"/>
      <c r="IS114"/>
      <c r="IT114"/>
      <c r="IU114"/>
      <c r="IV114"/>
    </row>
    <row r="115" spans="1:256" ht="79.5" customHeight="1">
      <c r="A115" s="246" t="s">
        <v>841</v>
      </c>
      <c r="B115" s="438" t="s">
        <v>866</v>
      </c>
      <c r="C115" s="246" t="s">
        <v>6</v>
      </c>
      <c r="D115" s="564" t="s">
        <v>1177</v>
      </c>
      <c r="E115" s="619">
        <f>P.UNIT!BQ503</f>
        <v>354.23374960636357</v>
      </c>
      <c r="F115" s="439"/>
      <c r="IQ115"/>
      <c r="IR115"/>
      <c r="IS115"/>
      <c r="IT115"/>
      <c r="IU115"/>
      <c r="IV115"/>
    </row>
    <row r="116" spans="1:256" ht="98.25" customHeight="1">
      <c r="A116" s="246" t="s">
        <v>842</v>
      </c>
      <c r="B116" s="438" t="s">
        <v>867</v>
      </c>
      <c r="C116" s="246" t="s">
        <v>6</v>
      </c>
      <c r="D116" s="564" t="s">
        <v>1177</v>
      </c>
      <c r="E116" s="619">
        <f>P.UNIT!BX503</f>
        <v>222.35445346999998</v>
      </c>
      <c r="F116" s="439"/>
      <c r="IQ116"/>
      <c r="IR116"/>
      <c r="IS116"/>
      <c r="IT116"/>
      <c r="IU116"/>
      <c r="IV116"/>
    </row>
    <row r="117" spans="1:256" ht="26.25" customHeight="1">
      <c r="A117" s="797" t="s">
        <v>1259</v>
      </c>
      <c r="B117" s="793"/>
      <c r="C117" s="793"/>
      <c r="D117" s="793"/>
      <c r="E117" s="793"/>
      <c r="F117" s="793"/>
      <c r="IQ117"/>
      <c r="IR117"/>
      <c r="IS117"/>
      <c r="IT117"/>
      <c r="IU117"/>
      <c r="IV117"/>
    </row>
    <row r="118" spans="1:256" ht="87.75" customHeight="1">
      <c r="A118" s="440" t="s">
        <v>1033</v>
      </c>
      <c r="B118" s="438" t="s">
        <v>876</v>
      </c>
      <c r="C118" s="246" t="s">
        <v>907</v>
      </c>
      <c r="D118" s="560" t="s">
        <v>1177</v>
      </c>
      <c r="E118" s="619">
        <f>P.UNIT!F551</f>
        <v>1663.4021566594713</v>
      </c>
      <c r="F118" s="439"/>
      <c r="IQ118"/>
      <c r="IR118"/>
      <c r="IS118"/>
      <c r="IT118"/>
      <c r="IU118"/>
      <c r="IV118"/>
    </row>
    <row r="119" spans="1:256" ht="86.25" customHeight="1">
      <c r="A119" s="440" t="s">
        <v>1062</v>
      </c>
      <c r="B119" s="438" t="s">
        <v>910</v>
      </c>
      <c r="C119" s="440" t="s">
        <v>907</v>
      </c>
      <c r="D119" s="560" t="s">
        <v>1177</v>
      </c>
      <c r="E119" s="619">
        <f>P.UNIT!M551</f>
        <v>1272.9052694348018</v>
      </c>
      <c r="F119" s="439"/>
      <c r="IQ119"/>
      <c r="IR119"/>
      <c r="IS119"/>
      <c r="IT119"/>
      <c r="IU119"/>
      <c r="IV119"/>
    </row>
    <row r="120" spans="1:256" ht="86.25" customHeight="1">
      <c r="A120" s="440" t="s">
        <v>1232</v>
      </c>
      <c r="B120" s="438" t="s">
        <v>955</v>
      </c>
      <c r="C120" s="440" t="s">
        <v>907</v>
      </c>
      <c r="D120" s="564"/>
      <c r="E120" s="620">
        <f>P.UNIT!AO596</f>
        <v>340.023011575</v>
      </c>
      <c r="F120" s="439"/>
      <c r="IQ120"/>
      <c r="IR120"/>
      <c r="IS120"/>
      <c r="IT120"/>
      <c r="IU120"/>
      <c r="IV120"/>
    </row>
    <row r="121" spans="1:256" ht="24" customHeight="1">
      <c r="A121" s="793" t="s">
        <v>1226</v>
      </c>
      <c r="B121" s="793"/>
      <c r="C121" s="793"/>
      <c r="D121" s="793"/>
      <c r="E121" s="793"/>
      <c r="F121" s="793"/>
      <c r="IQ121"/>
      <c r="IR121"/>
      <c r="IS121"/>
      <c r="IT121"/>
      <c r="IU121"/>
      <c r="IV121"/>
    </row>
    <row r="122" spans="1:256" ht="86.25" customHeight="1">
      <c r="A122" s="440" t="s">
        <v>1048</v>
      </c>
      <c r="B122" s="561" t="s">
        <v>1227</v>
      </c>
      <c r="C122" s="440" t="s">
        <v>907</v>
      </c>
      <c r="D122" s="564" t="s">
        <v>1177</v>
      </c>
      <c r="E122" s="619">
        <f>P.UNIT!F596</f>
        <v>336.66847157500001</v>
      </c>
      <c r="F122" s="439"/>
      <c r="IQ122"/>
      <c r="IR122"/>
      <c r="IS122"/>
      <c r="IT122"/>
      <c r="IU122"/>
      <c r="IV122"/>
    </row>
    <row r="123" spans="1:256" ht="91.5" customHeight="1">
      <c r="A123" s="440" t="s">
        <v>1067</v>
      </c>
      <c r="B123" s="561" t="s">
        <v>1228</v>
      </c>
      <c r="C123" s="440" t="s">
        <v>907</v>
      </c>
      <c r="D123" s="564" t="s">
        <v>1177</v>
      </c>
      <c r="E123" s="619">
        <f>P.UNIT!M596</f>
        <v>319.22041157499996</v>
      </c>
      <c r="F123" s="439"/>
      <c r="IQ123"/>
      <c r="IR123"/>
      <c r="IS123"/>
      <c r="IT123"/>
      <c r="IU123"/>
      <c r="IV123"/>
    </row>
    <row r="124" spans="1:256" ht="22.5" customHeight="1">
      <c r="A124" s="798" t="s">
        <v>914</v>
      </c>
      <c r="B124" s="799"/>
      <c r="C124" s="799"/>
      <c r="D124" s="799"/>
      <c r="E124" s="799"/>
      <c r="F124" s="800"/>
      <c r="IQ124"/>
      <c r="IR124"/>
      <c r="IS124"/>
      <c r="IT124"/>
      <c r="IU124"/>
      <c r="IV124"/>
    </row>
    <row r="125" spans="1:256" ht="84.75" customHeight="1">
      <c r="A125" s="440" t="s">
        <v>925</v>
      </c>
      <c r="B125" s="571" t="s">
        <v>923</v>
      </c>
      <c r="C125" s="440" t="s">
        <v>742</v>
      </c>
      <c r="D125" s="570"/>
      <c r="E125" s="623"/>
      <c r="F125" s="579"/>
      <c r="IQ125"/>
      <c r="IR125"/>
      <c r="IS125"/>
      <c r="IT125"/>
      <c r="IU125"/>
      <c r="IV125"/>
    </row>
    <row r="126" spans="1:256" ht="64.5" customHeight="1">
      <c r="A126" s="440" t="s">
        <v>935</v>
      </c>
      <c r="B126" s="569" t="s">
        <v>936</v>
      </c>
      <c r="C126" s="440" t="s">
        <v>742</v>
      </c>
      <c r="D126" s="570"/>
      <c r="E126" s="623"/>
      <c r="F126" s="541"/>
      <c r="IQ126"/>
      <c r="IR126"/>
      <c r="IS126"/>
      <c r="IT126"/>
      <c r="IU126"/>
      <c r="IV126"/>
    </row>
    <row r="127" spans="1:256" ht="91.5" customHeight="1">
      <c r="A127" s="440" t="s">
        <v>940</v>
      </c>
      <c r="B127" s="569" t="s">
        <v>937</v>
      </c>
      <c r="C127" s="440" t="s">
        <v>742</v>
      </c>
      <c r="D127" s="570"/>
      <c r="E127" s="623"/>
      <c r="F127" s="541"/>
      <c r="IQ127"/>
      <c r="IR127"/>
      <c r="IS127"/>
      <c r="IT127"/>
      <c r="IU127"/>
      <c r="IV127"/>
    </row>
    <row r="128" spans="1:256" ht="88.5" customHeight="1">
      <c r="A128" s="440" t="s">
        <v>941</v>
      </c>
      <c r="B128" s="569" t="s">
        <v>938</v>
      </c>
      <c r="C128" s="440" t="s">
        <v>742</v>
      </c>
      <c r="D128" s="570"/>
      <c r="E128" s="623"/>
      <c r="F128" s="541"/>
      <c r="IQ128"/>
      <c r="IR128"/>
      <c r="IS128"/>
      <c r="IT128"/>
      <c r="IU128"/>
      <c r="IV128"/>
    </row>
    <row r="129" spans="1:256" ht="103.5" customHeight="1">
      <c r="A129" s="440" t="s">
        <v>942</v>
      </c>
      <c r="B129" s="569" t="s">
        <v>939</v>
      </c>
      <c r="C129" s="440" t="s">
        <v>742</v>
      </c>
      <c r="D129" s="570"/>
      <c r="E129" s="623"/>
      <c r="F129" s="541"/>
      <c r="IQ129"/>
      <c r="IR129"/>
      <c r="IS129"/>
      <c r="IT129"/>
      <c r="IU129"/>
      <c r="IV129"/>
    </row>
    <row r="130" spans="1:256" ht="26.25" customHeight="1">
      <c r="A130" s="793" t="s">
        <v>915</v>
      </c>
      <c r="B130" s="793"/>
      <c r="C130" s="793"/>
      <c r="D130" s="793"/>
      <c r="E130" s="793"/>
      <c r="F130" s="793"/>
      <c r="IQ130"/>
      <c r="IR130"/>
      <c r="IS130"/>
      <c r="IT130"/>
      <c r="IU130"/>
      <c r="IV130"/>
    </row>
    <row r="131" spans="1:256" ht="74.25" customHeight="1">
      <c r="A131" s="440" t="s">
        <v>926</v>
      </c>
      <c r="B131" s="569" t="s">
        <v>1216</v>
      </c>
      <c r="C131" s="440" t="s">
        <v>742</v>
      </c>
      <c r="D131" s="570"/>
      <c r="E131" s="623"/>
      <c r="F131" s="541"/>
      <c r="IQ131"/>
      <c r="IR131"/>
      <c r="IS131"/>
      <c r="IT131"/>
      <c r="IU131"/>
      <c r="IV131"/>
    </row>
    <row r="132" spans="1:256" ht="114" customHeight="1">
      <c r="A132" s="440" t="s">
        <v>927</v>
      </c>
      <c r="B132" s="569" t="s">
        <v>1217</v>
      </c>
      <c r="C132" s="440" t="s">
        <v>742</v>
      </c>
      <c r="D132" s="570"/>
      <c r="E132" s="623"/>
      <c r="F132" s="541"/>
      <c r="IQ132"/>
      <c r="IR132"/>
      <c r="IS132"/>
      <c r="IT132"/>
      <c r="IU132"/>
      <c r="IV132"/>
    </row>
    <row r="133" spans="1:256" ht="68.25" customHeight="1">
      <c r="A133" s="440" t="s">
        <v>931</v>
      </c>
      <c r="B133" s="569" t="s">
        <v>1218</v>
      </c>
      <c r="C133" s="440" t="s">
        <v>742</v>
      </c>
      <c r="D133" s="570"/>
      <c r="E133" s="623"/>
      <c r="F133" s="541"/>
      <c r="IQ133"/>
      <c r="IR133"/>
      <c r="IS133"/>
      <c r="IT133"/>
      <c r="IU133"/>
      <c r="IV133"/>
    </row>
    <row r="134" spans="1:256" ht="60" customHeight="1">
      <c r="A134" s="440" t="s">
        <v>932</v>
      </c>
      <c r="B134" s="569" t="s">
        <v>1219</v>
      </c>
      <c r="C134" s="440" t="s">
        <v>742</v>
      </c>
      <c r="D134" s="570"/>
      <c r="E134" s="623"/>
      <c r="F134" s="541"/>
      <c r="IQ134"/>
      <c r="IR134"/>
      <c r="IS134"/>
      <c r="IT134"/>
      <c r="IU134"/>
      <c r="IV134"/>
    </row>
    <row r="135" spans="1:256" ht="64.5" customHeight="1">
      <c r="A135" s="440" t="s">
        <v>933</v>
      </c>
      <c r="B135" s="569" t="s">
        <v>1220</v>
      </c>
      <c r="C135" s="440" t="s">
        <v>742</v>
      </c>
      <c r="D135" s="570"/>
      <c r="E135" s="623"/>
      <c r="F135" s="541"/>
      <c r="IQ135"/>
      <c r="IR135"/>
      <c r="IS135"/>
      <c r="IT135"/>
      <c r="IU135"/>
      <c r="IV135"/>
    </row>
    <row r="136" spans="1:256" ht="53.25" customHeight="1">
      <c r="A136" s="440" t="s">
        <v>934</v>
      </c>
      <c r="B136" s="569" t="s">
        <v>930</v>
      </c>
      <c r="C136" s="440" t="s">
        <v>742</v>
      </c>
      <c r="D136" s="570"/>
      <c r="E136" s="623"/>
      <c r="F136" s="541"/>
    </row>
    <row r="137" spans="1:256" ht="24.75" customHeight="1">
      <c r="A137" s="794" t="s">
        <v>1202</v>
      </c>
      <c r="B137" s="794"/>
      <c r="C137" s="794"/>
      <c r="D137" s="794"/>
      <c r="E137" s="794"/>
      <c r="F137" s="793"/>
    </row>
    <row r="138" spans="1:256" ht="96.75" customHeight="1">
      <c r="A138" s="571" t="s">
        <v>1049</v>
      </c>
      <c r="B138" s="569" t="s">
        <v>1203</v>
      </c>
      <c r="C138" s="572" t="s">
        <v>742</v>
      </c>
      <c r="D138" s="573"/>
      <c r="E138" s="625"/>
      <c r="F138" s="574"/>
    </row>
    <row r="139" spans="1:256" ht="76.5" customHeight="1">
      <c r="A139" s="571" t="s">
        <v>1204</v>
      </c>
      <c r="B139" s="598" t="s">
        <v>1205</v>
      </c>
      <c r="C139" s="572" t="s">
        <v>742</v>
      </c>
      <c r="D139" s="575"/>
      <c r="E139" s="626"/>
      <c r="F139" s="541"/>
    </row>
    <row r="140" spans="1:256" ht="97.5" customHeight="1">
      <c r="A140" s="571" t="s">
        <v>1221</v>
      </c>
      <c r="B140" s="598" t="s">
        <v>1222</v>
      </c>
      <c r="C140" s="440" t="s">
        <v>742</v>
      </c>
      <c r="D140" s="439"/>
      <c r="E140" s="619"/>
      <c r="F140" s="439"/>
    </row>
    <row r="141" spans="1:256" ht="18" customHeight="1">
      <c r="A141" s="801" t="s">
        <v>956</v>
      </c>
      <c r="B141" s="801"/>
      <c r="C141" s="801"/>
      <c r="D141" s="801"/>
      <c r="E141" s="801"/>
      <c r="F141" s="801"/>
    </row>
    <row r="142" spans="1:256" ht="21" customHeight="1">
      <c r="A142" s="793" t="s">
        <v>884</v>
      </c>
      <c r="B142" s="793"/>
      <c r="C142" s="793"/>
      <c r="D142" s="793"/>
      <c r="E142" s="793"/>
      <c r="F142" s="793"/>
    </row>
    <row r="143" spans="1:256" ht="118.5" customHeight="1">
      <c r="A143" s="440" t="s">
        <v>881</v>
      </c>
      <c r="B143" s="577" t="s">
        <v>1223</v>
      </c>
      <c r="C143" s="441" t="s">
        <v>6</v>
      </c>
      <c r="D143" s="560" t="s">
        <v>1177</v>
      </c>
      <c r="E143" s="619">
        <f>P.UNIT!T457</f>
        <v>540.73007557463222</v>
      </c>
      <c r="F143" s="439"/>
    </row>
    <row r="144" spans="1:256" ht="74.25" customHeight="1">
      <c r="A144" s="442" t="s">
        <v>968</v>
      </c>
      <c r="B144" s="571" t="s">
        <v>958</v>
      </c>
      <c r="C144" s="440" t="s">
        <v>6</v>
      </c>
      <c r="D144" s="564"/>
      <c r="E144" s="620">
        <f>P.UNIT!BQ457</f>
        <v>182.76109029878455</v>
      </c>
      <c r="F144" s="439"/>
    </row>
    <row r="145" spans="1:6" ht="43.2">
      <c r="A145" s="442" t="s">
        <v>969</v>
      </c>
      <c r="B145" s="571" t="s">
        <v>959</v>
      </c>
      <c r="C145" s="440" t="s">
        <v>294</v>
      </c>
      <c r="D145" s="578"/>
      <c r="E145" s="619"/>
      <c r="F145" s="439"/>
    </row>
    <row r="146" spans="1:6" ht="61.5" customHeight="1">
      <c r="A146" s="442" t="s">
        <v>1310</v>
      </c>
      <c r="B146" s="571" t="s">
        <v>960</v>
      </c>
      <c r="C146" s="440" t="s">
        <v>294</v>
      </c>
      <c r="D146" s="439"/>
      <c r="E146" s="619"/>
      <c r="F146" s="439"/>
    </row>
    <row r="147" spans="1:6" ht="89.25" customHeight="1">
      <c r="A147" s="442" t="s">
        <v>1311</v>
      </c>
      <c r="B147" s="577" t="s">
        <v>957</v>
      </c>
      <c r="C147" s="440" t="s">
        <v>6</v>
      </c>
      <c r="D147" s="439"/>
      <c r="E147" s="619"/>
      <c r="F147" s="439"/>
    </row>
    <row r="148" spans="1:6" ht="92.25" customHeight="1">
      <c r="A148" s="442" t="s">
        <v>1312</v>
      </c>
      <c r="B148" s="569" t="s">
        <v>1336</v>
      </c>
      <c r="C148" s="440" t="s">
        <v>6</v>
      </c>
      <c r="D148" s="564"/>
      <c r="E148" s="620">
        <f>P.UNIT!BX458</f>
        <v>620.88253975631699</v>
      </c>
      <c r="F148" s="439"/>
    </row>
    <row r="149" spans="1:6" ht="64.5" customHeight="1">
      <c r="A149" s="442" t="s">
        <v>1313</v>
      </c>
      <c r="B149" s="569" t="s">
        <v>961</v>
      </c>
      <c r="C149" s="442" t="s">
        <v>6</v>
      </c>
      <c r="D149" s="564"/>
      <c r="E149" s="620">
        <f>P.UNIT!CE458</f>
        <v>767.42434415107425</v>
      </c>
      <c r="F149" s="439"/>
    </row>
    <row r="150" spans="1:6" ht="27.75" customHeight="1">
      <c r="A150" s="793" t="s">
        <v>1225</v>
      </c>
      <c r="B150" s="793"/>
      <c r="C150" s="793"/>
      <c r="D150" s="793"/>
      <c r="E150" s="793"/>
      <c r="F150" s="793"/>
    </row>
    <row r="151" spans="1:6" ht="96.75" customHeight="1">
      <c r="A151" s="440" t="s">
        <v>1248</v>
      </c>
      <c r="B151" s="561" t="s">
        <v>1249</v>
      </c>
      <c r="C151" s="246" t="s">
        <v>907</v>
      </c>
      <c r="D151" s="581"/>
      <c r="E151" s="619"/>
      <c r="F151" s="439"/>
    </row>
    <row r="152" spans="1:6" ht="114.75" customHeight="1">
      <c r="A152" s="440" t="s">
        <v>1254</v>
      </c>
      <c r="B152" s="561" t="s">
        <v>1255</v>
      </c>
      <c r="C152" s="246" t="s">
        <v>907</v>
      </c>
      <c r="D152" s="581"/>
      <c r="E152" s="619"/>
      <c r="F152" s="439"/>
    </row>
    <row r="153" spans="1:6" ht="23.25" customHeight="1">
      <c r="A153" s="793" t="s">
        <v>872</v>
      </c>
      <c r="B153" s="793"/>
      <c r="C153" s="793"/>
      <c r="D153" s="793"/>
      <c r="E153" s="793"/>
      <c r="F153" s="793"/>
    </row>
    <row r="154" spans="1:6" ht="58.8" customHeight="1">
      <c r="A154" s="437" t="s">
        <v>834</v>
      </c>
      <c r="B154" s="438" t="s">
        <v>908</v>
      </c>
      <c r="C154" s="246" t="s">
        <v>6</v>
      </c>
      <c r="D154" s="564"/>
      <c r="E154" s="619">
        <f>P.UNIT!AA503</f>
        <v>74.673655033703696</v>
      </c>
      <c r="F154" s="439"/>
    </row>
    <row r="155" spans="1:6" ht="84" customHeight="1">
      <c r="A155" s="246" t="s">
        <v>835</v>
      </c>
      <c r="B155" s="438" t="s">
        <v>1182</v>
      </c>
      <c r="C155" s="246" t="s">
        <v>6</v>
      </c>
      <c r="D155" s="564"/>
      <c r="E155" s="619">
        <f>P.UNIT!AH503</f>
        <v>62.687890439908763</v>
      </c>
      <c r="F155" s="660"/>
    </row>
    <row r="156" spans="1:6" ht="71.25" customHeight="1">
      <c r="A156" s="440" t="s">
        <v>962</v>
      </c>
      <c r="B156" s="569" t="s">
        <v>1224</v>
      </c>
      <c r="C156" s="440" t="s">
        <v>6</v>
      </c>
      <c r="D156" s="564"/>
      <c r="E156" s="632">
        <f>P.UNIT!CE503</f>
        <v>306.93793646730768</v>
      </c>
      <c r="F156" s="439"/>
    </row>
    <row r="157" spans="1:6" ht="24.75" customHeight="1">
      <c r="A157" s="794" t="s">
        <v>1202</v>
      </c>
      <c r="B157" s="794"/>
      <c r="C157" s="794"/>
      <c r="D157" s="794"/>
      <c r="E157" s="794"/>
      <c r="F157" s="793"/>
    </row>
    <row r="158" spans="1:6" ht="91.5" customHeight="1">
      <c r="A158" s="571" t="s">
        <v>1250</v>
      </c>
      <c r="B158" s="569" t="s">
        <v>1252</v>
      </c>
      <c r="C158" s="572" t="s">
        <v>742</v>
      </c>
      <c r="D158" s="573"/>
      <c r="E158" s="625"/>
      <c r="F158" s="574"/>
    </row>
    <row r="159" spans="1:6" ht="68.25" customHeight="1">
      <c r="A159" s="571" t="s">
        <v>1251</v>
      </c>
      <c r="B159" s="569" t="s">
        <v>1253</v>
      </c>
      <c r="C159" s="572" t="s">
        <v>742</v>
      </c>
      <c r="D159" s="439"/>
      <c r="E159" s="619"/>
      <c r="F159" s="439"/>
    </row>
  </sheetData>
  <mergeCells count="28">
    <mergeCell ref="A150:F150"/>
    <mergeCell ref="A157:F157"/>
    <mergeCell ref="A81:F81"/>
    <mergeCell ref="A84:F84"/>
    <mergeCell ref="A1:F1"/>
    <mergeCell ref="A10:F10"/>
    <mergeCell ref="A3:F3"/>
    <mergeCell ref="A2:F2"/>
    <mergeCell ref="A22:F22"/>
    <mergeCell ref="A32:F32"/>
    <mergeCell ref="A44:F44"/>
    <mergeCell ref="A142:F142"/>
    <mergeCell ref="A153:F153"/>
    <mergeCell ref="A50:F50"/>
    <mergeCell ref="A117:F117"/>
    <mergeCell ref="A124:F124"/>
    <mergeCell ref="A137:F137"/>
    <mergeCell ref="A141:F141"/>
    <mergeCell ref="A90:F90"/>
    <mergeCell ref="A95:F95"/>
    <mergeCell ref="A98:F98"/>
    <mergeCell ref="A99:F99"/>
    <mergeCell ref="A105:F105"/>
    <mergeCell ref="A57:F57"/>
    <mergeCell ref="A72:F72"/>
    <mergeCell ref="A75:F75"/>
    <mergeCell ref="A121:F121"/>
    <mergeCell ref="A130:F130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topLeftCell="A28" workbookViewId="0">
      <selection activeCell="E56" sqref="E56"/>
    </sheetView>
  </sheetViews>
  <sheetFormatPr defaultColWidth="11.5546875" defaultRowHeight="14.4"/>
  <cols>
    <col min="1" max="1" width="14.44140625" customWidth="1"/>
    <col min="5" max="5" width="11.44140625" customWidth="1"/>
  </cols>
  <sheetData>
    <row r="1" spans="1:5">
      <c r="A1" t="s">
        <v>1048</v>
      </c>
    </row>
    <row r="2" spans="1:5">
      <c r="A2" s="489" t="s">
        <v>425</v>
      </c>
      <c r="B2">
        <f>15*4</f>
        <v>60</v>
      </c>
      <c r="C2">
        <f>(B2*1)/480</f>
        <v>0.125</v>
      </c>
    </row>
    <row r="3" spans="1:5">
      <c r="A3" s="489" t="s">
        <v>557</v>
      </c>
      <c r="B3">
        <f>3*1.05</f>
        <v>3.1500000000000004</v>
      </c>
      <c r="C3">
        <v>4</v>
      </c>
      <c r="D3" s="489" t="s">
        <v>1061</v>
      </c>
    </row>
    <row r="5" spans="1:5">
      <c r="A5" s="489" t="s">
        <v>1062</v>
      </c>
    </row>
    <row r="6" spans="1:5">
      <c r="A6" s="489" t="s">
        <v>1064</v>
      </c>
      <c r="B6">
        <f>0.25*2</f>
        <v>0.5</v>
      </c>
      <c r="C6">
        <f>(B6*1)/100</f>
        <v>5.0000000000000001E-3</v>
      </c>
    </row>
    <row r="7" spans="1:5">
      <c r="A7" s="489" t="s">
        <v>317</v>
      </c>
      <c r="B7">
        <f>2*2</f>
        <v>4</v>
      </c>
      <c r="C7" s="493">
        <f>(B7*1)/454</f>
        <v>8.8105726872246704E-3</v>
      </c>
    </row>
    <row r="8" spans="1:5">
      <c r="A8" s="489" t="s">
        <v>565</v>
      </c>
      <c r="B8">
        <f>1*2</f>
        <v>2</v>
      </c>
      <c r="C8" s="499">
        <f>(B8*1)/100</f>
        <v>0.02</v>
      </c>
    </row>
    <row r="10" spans="1:5">
      <c r="A10" s="489" t="s">
        <v>1067</v>
      </c>
    </row>
    <row r="11" spans="1:5">
      <c r="A11" s="489" t="s">
        <v>425</v>
      </c>
      <c r="B11">
        <f>2*15</f>
        <v>30</v>
      </c>
      <c r="C11">
        <f>(30*1)/480</f>
        <v>6.25E-2</v>
      </c>
    </row>
    <row r="13" spans="1:5">
      <c r="A13" s="489" t="s">
        <v>1125</v>
      </c>
      <c r="E13" s="489" t="s">
        <v>1127</v>
      </c>
    </row>
    <row r="14" spans="1:5">
      <c r="A14" s="489" t="s">
        <v>1126</v>
      </c>
      <c r="B14">
        <f>((0.2/10.16)*2)*100</f>
        <v>3.9370078740157481</v>
      </c>
      <c r="C14">
        <f>(0.15/10.16)*100</f>
        <v>1.4763779527559056</v>
      </c>
      <c r="D14">
        <f>B14+C14</f>
        <v>5.4133858267716537</v>
      </c>
      <c r="E14" s="489">
        <v>6</v>
      </c>
    </row>
    <row r="16" spans="1:5">
      <c r="A16" s="489" t="s">
        <v>7</v>
      </c>
      <c r="E16" s="489" t="s">
        <v>1127</v>
      </c>
    </row>
    <row r="17" spans="1:6">
      <c r="A17" s="489" t="s">
        <v>373</v>
      </c>
      <c r="B17">
        <f>(0.255*0.075)</f>
        <v>1.9125E-2</v>
      </c>
      <c r="C17" s="523">
        <f>(1*1)/B17</f>
        <v>52.287581699346404</v>
      </c>
      <c r="D17" s="524">
        <f>C17*1.05</f>
        <v>54.901960784313729</v>
      </c>
      <c r="E17">
        <v>56</v>
      </c>
      <c r="F17">
        <f>E17/1000</f>
        <v>5.6000000000000001E-2</v>
      </c>
    </row>
    <row r="18" spans="1:6">
      <c r="A18" s="489" t="s">
        <v>71</v>
      </c>
      <c r="B18">
        <f>(0.24*0.12*0.015)+(0.12*0.06*0.015)</f>
        <v>5.4000000000000001E-4</v>
      </c>
      <c r="C18">
        <f>B18*E17</f>
        <v>3.024E-2</v>
      </c>
      <c r="D18">
        <f>C18*1.05</f>
        <v>3.1752000000000002E-2</v>
      </c>
    </row>
    <row r="20" spans="1:6">
      <c r="A20" s="489" t="s">
        <v>881</v>
      </c>
    </row>
    <row r="21" spans="1:6">
      <c r="A21" s="489" t="s">
        <v>1088</v>
      </c>
      <c r="B21">
        <f>(0.075*2)+1</f>
        <v>1.1499999999999999</v>
      </c>
      <c r="C21">
        <f>B21*2</f>
        <v>2.2999999999999998</v>
      </c>
      <c r="D21" s="523">
        <f>(1*C21)/1.4</f>
        <v>1.6428571428571428</v>
      </c>
    </row>
    <row r="23" spans="1:6">
      <c r="A23" s="489" t="s">
        <v>886</v>
      </c>
    </row>
    <row r="24" spans="1:6">
      <c r="A24" s="489" t="s">
        <v>198</v>
      </c>
      <c r="B24">
        <f>1+(0.13*2)</f>
        <v>1.26</v>
      </c>
      <c r="C24">
        <f>((1/0.2)+1)*2</f>
        <v>12</v>
      </c>
      <c r="D24">
        <f>B24*C24</f>
        <v>15.120000000000001</v>
      </c>
      <c r="E24">
        <f>D24*0.57</f>
        <v>8.6183999999999994</v>
      </c>
      <c r="F24">
        <f>E24*1.03</f>
        <v>8.8769519999999993</v>
      </c>
    </row>
    <row r="26" spans="1:6">
      <c r="A26" s="489" t="s">
        <v>887</v>
      </c>
      <c r="D26" s="489" t="s">
        <v>1127</v>
      </c>
      <c r="F26" s="489" t="s">
        <v>1127</v>
      </c>
    </row>
    <row r="27" spans="1:6">
      <c r="A27" s="489" t="s">
        <v>86</v>
      </c>
      <c r="B27">
        <f>(0.31*0.31)</f>
        <v>9.6100000000000005E-2</v>
      </c>
      <c r="C27" s="532">
        <f>(1*1)/B27</f>
        <v>10.40582726326743</v>
      </c>
      <c r="D27">
        <v>11</v>
      </c>
      <c r="E27">
        <f>D27*1.05</f>
        <v>11.55</v>
      </c>
      <c r="F27">
        <f>12</f>
        <v>12</v>
      </c>
    </row>
    <row r="29" spans="1:6">
      <c r="A29" s="489" t="s">
        <v>835</v>
      </c>
    </row>
    <row r="30" spans="1:6">
      <c r="A30" s="489" t="s">
        <v>993</v>
      </c>
      <c r="B30">
        <f>(1*1)/11</f>
        <v>9.0909090909090912E-2</v>
      </c>
      <c r="C30">
        <f>(B30*1.05)*2</f>
        <v>0.19090909090909092</v>
      </c>
      <c r="D30">
        <f>C30+B31</f>
        <v>0.21000000000000002</v>
      </c>
      <c r="E30" s="527">
        <f>(D30*1)/19</f>
        <v>1.1052631578947369E-2</v>
      </c>
    </row>
    <row r="31" spans="1:6">
      <c r="B31">
        <f>((B30/5)*1.05)*1</f>
        <v>1.9090909090909092E-2</v>
      </c>
    </row>
    <row r="32" spans="1:6">
      <c r="A32" s="489" t="s">
        <v>15</v>
      </c>
      <c r="B32">
        <f>(B30+B31)*1.05</f>
        <v>0.11550000000000001</v>
      </c>
      <c r="C32">
        <f>B32/1000</f>
        <v>1.155E-4</v>
      </c>
    </row>
    <row r="34" spans="1:15">
      <c r="A34" s="489" t="s">
        <v>840</v>
      </c>
      <c r="D34" s="489" t="s">
        <v>1127</v>
      </c>
      <c r="F34" s="489" t="s">
        <v>1127</v>
      </c>
    </row>
    <row r="35" spans="1:15">
      <c r="A35" s="489" t="s">
        <v>80</v>
      </c>
      <c r="B35">
        <f>0.611*0.311</f>
        <v>0.190021</v>
      </c>
      <c r="C35">
        <f>(1*1)/B35</f>
        <v>5.2625762415733002</v>
      </c>
      <c r="D35">
        <v>6</v>
      </c>
      <c r="E35">
        <f>D35*1.05</f>
        <v>6.3000000000000007</v>
      </c>
      <c r="F35">
        <v>7</v>
      </c>
    </row>
    <row r="37" spans="1:15">
      <c r="A37" t="s">
        <v>1048</v>
      </c>
      <c r="E37" t="s">
        <v>1067</v>
      </c>
      <c r="I37" t="s">
        <v>1170</v>
      </c>
    </row>
    <row r="38" spans="1:15">
      <c r="A38" s="489" t="s">
        <v>425</v>
      </c>
      <c r="B38">
        <f>15*1</f>
        <v>15</v>
      </c>
      <c r="C38">
        <f>(B38*1)/480</f>
        <v>3.125E-2</v>
      </c>
      <c r="E38" s="489" t="s">
        <v>425</v>
      </c>
      <c r="F38">
        <f>15*1</f>
        <v>15</v>
      </c>
      <c r="G38">
        <f>(F38*1)/480</f>
        <v>3.125E-2</v>
      </c>
      <c r="I38" s="489" t="s">
        <v>425</v>
      </c>
      <c r="J38">
        <f>15*1</f>
        <v>15</v>
      </c>
      <c r="K38">
        <f>(J38*1)/480</f>
        <v>3.125E-2</v>
      </c>
    </row>
    <row r="39" spans="1:15">
      <c r="A39" s="489"/>
      <c r="D39" s="489"/>
    </row>
    <row r="40" spans="1:15">
      <c r="A40" t="s">
        <v>1169</v>
      </c>
      <c r="E40" t="s">
        <v>1168</v>
      </c>
      <c r="I40" t="s">
        <v>1173</v>
      </c>
      <c r="M40" t="s">
        <v>1173</v>
      </c>
    </row>
    <row r="41" spans="1:15">
      <c r="A41" s="489" t="s">
        <v>425</v>
      </c>
      <c r="B41">
        <f>15*1</f>
        <v>15</v>
      </c>
      <c r="C41">
        <f>(B41*1)/480</f>
        <v>3.125E-2</v>
      </c>
      <c r="E41" s="489" t="s">
        <v>425</v>
      </c>
      <c r="F41">
        <f>15*1</f>
        <v>15</v>
      </c>
      <c r="G41">
        <f>(F41*1)/480</f>
        <v>3.125E-2</v>
      </c>
      <c r="I41" s="489" t="s">
        <v>425</v>
      </c>
      <c r="J41">
        <f>15*1</f>
        <v>15</v>
      </c>
      <c r="K41">
        <f>(J41*1)/480</f>
        <v>3.125E-2</v>
      </c>
      <c r="M41" s="489" t="s">
        <v>425</v>
      </c>
      <c r="N41">
        <f>15*3</f>
        <v>45</v>
      </c>
      <c r="O41">
        <f>(N41*1)/480</f>
        <v>9.375E-2</v>
      </c>
    </row>
    <row r="43" spans="1:15">
      <c r="A43" s="489" t="s">
        <v>992</v>
      </c>
      <c r="B43">
        <f>(1*1)/11</f>
        <v>9.0909090909090912E-2</v>
      </c>
      <c r="C43">
        <f>(B43*1.05)*2</f>
        <v>0.19090909090909092</v>
      </c>
      <c r="D43">
        <f>C43+B44</f>
        <v>0.21000000000000002</v>
      </c>
      <c r="E43" s="527">
        <f>(D43*1)/19</f>
        <v>1.1052631578947369E-2</v>
      </c>
    </row>
    <row r="44" spans="1:15">
      <c r="B44">
        <f>((B43/5)*1.05)*1</f>
        <v>1.9090909090909092E-2</v>
      </c>
    </row>
    <row r="45" spans="1:15">
      <c r="A45" s="489" t="s">
        <v>15</v>
      </c>
      <c r="B45">
        <f>(B43+B44)*1.05</f>
        <v>0.11550000000000001</v>
      </c>
      <c r="C45">
        <f>B45/1000</f>
        <v>1.155E-4</v>
      </c>
    </row>
    <row r="47" spans="1:15">
      <c r="A47" s="489" t="s">
        <v>993</v>
      </c>
      <c r="B47">
        <f>(1*1)/11</f>
        <v>9.0909090909090912E-2</v>
      </c>
      <c r="C47">
        <f>(B47*1.05)*2</f>
        <v>0.19090909090909092</v>
      </c>
      <c r="D47">
        <f>C47+B48</f>
        <v>0.21000000000000002</v>
      </c>
      <c r="E47" s="527">
        <f>(D47*1)/19</f>
        <v>1.1052631578947369E-2</v>
      </c>
    </row>
    <row r="48" spans="1:15">
      <c r="B48">
        <f>((B47/5)*1.05)*1</f>
        <v>1.9090909090909092E-2</v>
      </c>
    </row>
    <row r="49" spans="1:5">
      <c r="A49" s="489" t="s">
        <v>15</v>
      </c>
      <c r="B49">
        <f>(B47+B48)*1.05</f>
        <v>0.11550000000000001</v>
      </c>
      <c r="C49">
        <f>B49/1000</f>
        <v>1.155E-4</v>
      </c>
    </row>
    <row r="51" spans="1:5">
      <c r="A51" s="489" t="s">
        <v>841</v>
      </c>
    </row>
    <row r="52" spans="1:5">
      <c r="A52" s="489" t="s">
        <v>80</v>
      </c>
      <c r="B52">
        <f>0.001*0.6*0.15</f>
        <v>8.9999999999999992E-5</v>
      </c>
      <c r="C52">
        <f>0.001*0.31*0.015</f>
        <v>4.6499999999999995E-6</v>
      </c>
      <c r="D52">
        <f>B52+C52</f>
        <v>9.4649999999999997E-5</v>
      </c>
      <c r="E52">
        <f>D52*8</f>
        <v>7.5719999999999997E-4</v>
      </c>
    </row>
    <row r="54" spans="1:5">
      <c r="A54" t="s">
        <v>1347</v>
      </c>
    </row>
    <row r="55" spans="1:5">
      <c r="A55" t="s">
        <v>1352</v>
      </c>
      <c r="B55">
        <f>1/0.2</f>
        <v>5</v>
      </c>
      <c r="C55">
        <f>20*B55</f>
        <v>100</v>
      </c>
      <c r="D55">
        <f>C55*1.05</f>
        <v>105</v>
      </c>
      <c r="E55">
        <f>D55*1/1000</f>
        <v>0.105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26"/>
  <sheetViews>
    <sheetView topLeftCell="A199" zoomScale="60" zoomScaleNormal="60" workbookViewId="0">
      <selection activeCell="J12" sqref="J12"/>
    </sheetView>
  </sheetViews>
  <sheetFormatPr defaultColWidth="11.44140625" defaultRowHeight="15" customHeight="1"/>
  <cols>
    <col min="1" max="1" width="79" style="172" customWidth="1"/>
    <col min="2" max="2" width="16.88671875" style="172" customWidth="1"/>
    <col min="3" max="3" width="66.5546875" style="631" customWidth="1"/>
    <col min="4" max="4" width="12.88671875" style="172" customWidth="1"/>
    <col min="5" max="5" width="22.5546875" style="172" customWidth="1"/>
    <col min="6" max="256" width="11.44140625" style="172" customWidth="1"/>
  </cols>
  <sheetData>
    <row r="1" spans="1:12" ht="30" customHeight="1">
      <c r="A1" s="173" t="s">
        <v>288</v>
      </c>
      <c r="B1" s="174"/>
      <c r="C1" s="628" t="s">
        <v>289</v>
      </c>
      <c r="D1" s="176" t="s">
        <v>3</v>
      </c>
      <c r="E1" s="175" t="s">
        <v>290</v>
      </c>
      <c r="F1" s="67"/>
      <c r="G1" s="61"/>
      <c r="H1" s="61"/>
    </row>
    <row r="2" spans="1:12" ht="42.75" customHeight="1">
      <c r="A2" s="177" t="s">
        <v>291</v>
      </c>
      <c r="B2" s="178" t="s">
        <v>292</v>
      </c>
      <c r="C2" s="465" t="s">
        <v>293</v>
      </c>
      <c r="D2" s="179" t="s">
        <v>1106</v>
      </c>
      <c r="E2" s="180">
        <v>126.47</v>
      </c>
      <c r="F2" s="67"/>
      <c r="G2" s="61"/>
      <c r="H2" s="61"/>
    </row>
    <row r="3" spans="1:12" ht="60" customHeight="1">
      <c r="A3" s="178" t="s">
        <v>295</v>
      </c>
      <c r="B3" s="178" t="s">
        <v>296</v>
      </c>
      <c r="C3" s="465" t="s">
        <v>297</v>
      </c>
      <c r="D3" s="179" t="s">
        <v>298</v>
      </c>
      <c r="E3" s="180">
        <v>57.67</v>
      </c>
      <c r="F3" s="652"/>
      <c r="G3" s="434"/>
      <c r="H3" s="61"/>
    </row>
    <row r="4" spans="1:12" ht="30" customHeight="1">
      <c r="A4" s="177" t="s">
        <v>299</v>
      </c>
      <c r="B4" s="178" t="s">
        <v>158</v>
      </c>
      <c r="C4" s="465" t="s">
        <v>300</v>
      </c>
      <c r="D4" s="179" t="s">
        <v>301</v>
      </c>
      <c r="E4" s="180">
        <v>1982.4</v>
      </c>
      <c r="F4" s="67"/>
      <c r="G4" s="61"/>
      <c r="H4" s="61"/>
    </row>
    <row r="5" spans="1:12" ht="30" customHeight="1">
      <c r="A5" s="177" t="s">
        <v>299</v>
      </c>
      <c r="B5" s="178" t="s">
        <v>73</v>
      </c>
      <c r="C5" s="465" t="s">
        <v>302</v>
      </c>
      <c r="D5" s="179" t="s">
        <v>301</v>
      </c>
      <c r="E5" s="180">
        <v>3500</v>
      </c>
      <c r="F5" s="67"/>
      <c r="G5" s="61"/>
      <c r="H5" s="61"/>
    </row>
    <row r="6" spans="1:12" ht="30" customHeight="1">
      <c r="A6" s="177" t="s">
        <v>303</v>
      </c>
      <c r="B6" s="178" t="s">
        <v>82</v>
      </c>
      <c r="C6" s="465" t="s">
        <v>100</v>
      </c>
      <c r="D6" s="179" t="s">
        <v>301</v>
      </c>
      <c r="E6" s="180">
        <v>5200</v>
      </c>
      <c r="F6" s="67"/>
      <c r="G6" s="61"/>
      <c r="H6" s="61"/>
    </row>
    <row r="7" spans="1:12" ht="30" customHeight="1">
      <c r="A7" s="177" t="s">
        <v>304</v>
      </c>
      <c r="B7" s="178" t="s">
        <v>92</v>
      </c>
      <c r="C7" s="465" t="s">
        <v>305</v>
      </c>
      <c r="D7" s="179" t="s">
        <v>301</v>
      </c>
      <c r="E7" s="180">
        <v>1551.72</v>
      </c>
      <c r="F7" s="67"/>
      <c r="G7" s="61"/>
      <c r="H7" s="61"/>
    </row>
    <row r="8" spans="1:12" ht="30" customHeight="1">
      <c r="A8" s="177" t="s">
        <v>306</v>
      </c>
      <c r="B8" s="178" t="s">
        <v>76</v>
      </c>
      <c r="C8" s="465" t="s">
        <v>307</v>
      </c>
      <c r="D8" s="179" t="s">
        <v>308</v>
      </c>
      <c r="E8" s="180">
        <v>189</v>
      </c>
      <c r="F8" s="67"/>
      <c r="G8" s="61"/>
      <c r="H8" s="61"/>
    </row>
    <row r="9" spans="1:12" ht="30" customHeight="1">
      <c r="A9" s="177" t="s">
        <v>306</v>
      </c>
      <c r="B9" s="178" t="s">
        <v>192</v>
      </c>
      <c r="C9" s="465" t="s">
        <v>309</v>
      </c>
      <c r="D9" s="179" t="s">
        <v>308</v>
      </c>
      <c r="E9" s="180">
        <v>470</v>
      </c>
      <c r="F9" s="599"/>
      <c r="G9" s="61"/>
      <c r="H9" s="61"/>
    </row>
    <row r="10" spans="1:12" ht="30" customHeight="1">
      <c r="A10" s="177" t="s">
        <v>310</v>
      </c>
      <c r="B10" s="178" t="s">
        <v>311</v>
      </c>
      <c r="C10" s="465" t="s">
        <v>312</v>
      </c>
      <c r="D10" s="179" t="s">
        <v>308</v>
      </c>
      <c r="E10" s="180">
        <v>155.16999999999999</v>
      </c>
      <c r="F10" s="67"/>
      <c r="G10" s="61"/>
      <c r="H10" s="61"/>
    </row>
    <row r="11" spans="1:12" ht="60" customHeight="1">
      <c r="A11" s="177" t="s">
        <v>313</v>
      </c>
      <c r="B11" s="178" t="s">
        <v>314</v>
      </c>
      <c r="C11" s="465" t="s">
        <v>315</v>
      </c>
      <c r="D11" s="179" t="s">
        <v>232</v>
      </c>
      <c r="E11" s="180">
        <v>42.24</v>
      </c>
      <c r="F11" s="67"/>
      <c r="G11" s="61"/>
      <c r="H11" s="61"/>
    </row>
    <row r="12" spans="1:12" ht="30" customHeight="1">
      <c r="A12" s="177" t="s">
        <v>316</v>
      </c>
      <c r="B12" s="178" t="s">
        <v>317</v>
      </c>
      <c r="C12" s="465" t="s">
        <v>318</v>
      </c>
      <c r="D12" s="179" t="s">
        <v>319</v>
      </c>
      <c r="E12" s="180">
        <v>257.76</v>
      </c>
      <c r="F12" s="67"/>
      <c r="G12" s="61"/>
      <c r="H12" s="61"/>
    </row>
    <row r="13" spans="1:12" ht="30" customHeight="1">
      <c r="A13" s="177" t="s">
        <v>320</v>
      </c>
      <c r="B13" s="178" t="s">
        <v>321</v>
      </c>
      <c r="C13" s="465" t="s">
        <v>322</v>
      </c>
      <c r="D13" s="179" t="s">
        <v>319</v>
      </c>
      <c r="E13" s="180">
        <v>172.41</v>
      </c>
      <c r="F13" s="67"/>
      <c r="G13" s="147"/>
      <c r="H13" s="61"/>
    </row>
    <row r="14" spans="1:12" ht="30" customHeight="1">
      <c r="A14" s="177" t="s">
        <v>320</v>
      </c>
      <c r="B14" s="178" t="s">
        <v>323</v>
      </c>
      <c r="C14" s="465" t="s">
        <v>324</v>
      </c>
      <c r="D14" s="179" t="s">
        <v>308</v>
      </c>
      <c r="E14" s="180">
        <v>301.72000000000003</v>
      </c>
      <c r="F14" s="67"/>
      <c r="G14" s="61"/>
      <c r="H14" s="61"/>
    </row>
    <row r="15" spans="1:12" ht="30" customHeight="1">
      <c r="A15" s="177" t="s">
        <v>325</v>
      </c>
      <c r="B15" s="178" t="s">
        <v>15</v>
      </c>
      <c r="C15" s="465" t="s">
        <v>326</v>
      </c>
      <c r="D15" s="179" t="s">
        <v>308</v>
      </c>
      <c r="E15" s="180">
        <v>10</v>
      </c>
      <c r="F15" s="67"/>
      <c r="G15" s="61"/>
      <c r="H15" s="61"/>
    </row>
    <row r="16" spans="1:12" ht="60" customHeight="1">
      <c r="A16" s="177" t="s">
        <v>327</v>
      </c>
      <c r="B16" s="178" t="s">
        <v>328</v>
      </c>
      <c r="C16" s="465" t="s">
        <v>329</v>
      </c>
      <c r="D16" s="179" t="s">
        <v>319</v>
      </c>
      <c r="E16" s="180">
        <v>47.41</v>
      </c>
      <c r="F16" s="67"/>
      <c r="G16" s="61"/>
      <c r="H16" s="61"/>
      <c r="L16" s="543"/>
    </row>
    <row r="17" spans="1:8" ht="15" customHeight="1">
      <c r="A17" s="177" t="s">
        <v>330</v>
      </c>
      <c r="B17" s="178" t="s">
        <v>242</v>
      </c>
      <c r="C17" s="465" t="s">
        <v>331</v>
      </c>
      <c r="D17" s="179" t="s">
        <v>232</v>
      </c>
      <c r="E17" s="180">
        <v>18.57</v>
      </c>
      <c r="F17" s="67"/>
      <c r="G17" s="61"/>
      <c r="H17" s="61"/>
    </row>
    <row r="18" spans="1:8" ht="15" customHeight="1">
      <c r="A18" s="177" t="s">
        <v>332</v>
      </c>
      <c r="B18" s="178" t="s">
        <v>333</v>
      </c>
      <c r="C18" s="465" t="s">
        <v>334</v>
      </c>
      <c r="D18" s="179" t="s">
        <v>232</v>
      </c>
      <c r="E18" s="180">
        <v>19.14</v>
      </c>
      <c r="F18" s="67"/>
      <c r="G18" s="61"/>
      <c r="H18" s="61"/>
    </row>
    <row r="19" spans="1:8" ht="30" customHeight="1">
      <c r="A19" s="177" t="s">
        <v>335</v>
      </c>
      <c r="B19" s="178" t="s">
        <v>198</v>
      </c>
      <c r="C19" s="465" t="s">
        <v>336</v>
      </c>
      <c r="D19" s="179" t="s">
        <v>232</v>
      </c>
      <c r="E19" s="180">
        <v>65.52</v>
      </c>
      <c r="F19" s="67"/>
      <c r="G19" s="61"/>
      <c r="H19" s="61"/>
    </row>
    <row r="20" spans="1:8" ht="30" customHeight="1">
      <c r="A20" s="177" t="s">
        <v>335</v>
      </c>
      <c r="B20" s="178" t="s">
        <v>337</v>
      </c>
      <c r="C20" s="465" t="s">
        <v>338</v>
      </c>
      <c r="D20" s="179" t="s">
        <v>232</v>
      </c>
      <c r="E20" s="180">
        <v>241.38</v>
      </c>
      <c r="F20" s="67"/>
      <c r="G20" s="61"/>
      <c r="H20" s="61"/>
    </row>
    <row r="21" spans="1:8" ht="30" customHeight="1">
      <c r="A21" s="177" t="s">
        <v>339</v>
      </c>
      <c r="B21" s="178" t="s">
        <v>340</v>
      </c>
      <c r="C21" s="465" t="s">
        <v>341</v>
      </c>
      <c r="D21" s="179" t="s">
        <v>298</v>
      </c>
      <c r="E21" s="180">
        <v>18.97</v>
      </c>
      <c r="F21" s="67"/>
      <c r="G21" s="61"/>
      <c r="H21" s="61"/>
    </row>
    <row r="22" spans="1:8" ht="30" customHeight="1">
      <c r="A22" s="177" t="s">
        <v>339</v>
      </c>
      <c r="B22" s="178" t="s">
        <v>342</v>
      </c>
      <c r="C22" s="465" t="s">
        <v>343</v>
      </c>
      <c r="D22" s="179" t="s">
        <v>298</v>
      </c>
      <c r="E22" s="180">
        <v>342.24</v>
      </c>
      <c r="F22" s="67"/>
      <c r="G22" s="61"/>
      <c r="H22" s="61"/>
    </row>
    <row r="23" spans="1:8" ht="15" customHeight="1">
      <c r="A23" s="177" t="s">
        <v>344</v>
      </c>
      <c r="B23" s="178" t="s">
        <v>345</v>
      </c>
      <c r="C23" s="465" t="s">
        <v>346</v>
      </c>
      <c r="D23" s="179" t="s">
        <v>294</v>
      </c>
      <c r="E23" s="180">
        <v>0.11</v>
      </c>
      <c r="F23" s="67"/>
      <c r="G23" s="61"/>
      <c r="H23" s="61"/>
    </row>
    <row r="24" spans="1:8" ht="30" customHeight="1">
      <c r="A24" s="177" t="s">
        <v>347</v>
      </c>
      <c r="B24" s="178" t="s">
        <v>348</v>
      </c>
      <c r="C24" s="465" t="s">
        <v>349</v>
      </c>
      <c r="D24" s="179" t="s">
        <v>298</v>
      </c>
      <c r="E24" s="180">
        <v>89</v>
      </c>
      <c r="F24" s="67"/>
      <c r="G24" s="61"/>
      <c r="H24" s="61"/>
    </row>
    <row r="25" spans="1:8" ht="30" customHeight="1">
      <c r="A25" s="177" t="s">
        <v>350</v>
      </c>
      <c r="B25" s="178" t="s">
        <v>351</v>
      </c>
      <c r="C25" s="465" t="s">
        <v>352</v>
      </c>
      <c r="D25" s="179" t="s">
        <v>298</v>
      </c>
      <c r="E25" s="180">
        <v>10.78</v>
      </c>
      <c r="F25" s="67"/>
      <c r="G25" s="61"/>
      <c r="H25" s="61"/>
    </row>
    <row r="26" spans="1:8" ht="30" customHeight="1">
      <c r="A26" s="177" t="s">
        <v>350</v>
      </c>
      <c r="B26" s="178" t="s">
        <v>353</v>
      </c>
      <c r="C26" s="465" t="s">
        <v>354</v>
      </c>
      <c r="D26" s="179" t="s">
        <v>294</v>
      </c>
      <c r="E26" s="180">
        <v>77.59</v>
      </c>
      <c r="F26" s="67"/>
      <c r="G26" s="61"/>
      <c r="H26" s="61"/>
    </row>
    <row r="27" spans="1:8" ht="30" customHeight="1">
      <c r="A27" s="177" t="s">
        <v>355</v>
      </c>
      <c r="B27" s="178" t="s">
        <v>203</v>
      </c>
      <c r="C27" s="465" t="s">
        <v>356</v>
      </c>
      <c r="D27" s="179" t="s">
        <v>319</v>
      </c>
      <c r="E27" s="180">
        <v>26.32</v>
      </c>
      <c r="F27" s="67"/>
      <c r="G27" s="61"/>
      <c r="H27" s="61"/>
    </row>
    <row r="28" spans="1:8" ht="30" customHeight="1">
      <c r="A28" s="177" t="s">
        <v>357</v>
      </c>
      <c r="B28" s="178" t="s">
        <v>358</v>
      </c>
      <c r="C28" s="465" t="s">
        <v>359</v>
      </c>
      <c r="D28" s="179" t="s">
        <v>6</v>
      </c>
      <c r="E28" s="180">
        <f>G28/100</f>
        <v>23.2759</v>
      </c>
      <c r="F28" s="179" t="s">
        <v>904</v>
      </c>
      <c r="G28" s="180">
        <v>2327.59</v>
      </c>
      <c r="H28" s="61"/>
    </row>
    <row r="29" spans="1:8" ht="15" customHeight="1">
      <c r="A29" s="177" t="s">
        <v>360</v>
      </c>
      <c r="B29" s="178" t="s">
        <v>361</v>
      </c>
      <c r="C29" s="465" t="s">
        <v>362</v>
      </c>
      <c r="D29" s="179" t="s">
        <v>294</v>
      </c>
      <c r="E29" s="180">
        <v>26</v>
      </c>
      <c r="F29" s="67"/>
      <c r="G29" s="61"/>
      <c r="H29" s="61"/>
    </row>
    <row r="30" spans="1:8" ht="30" customHeight="1">
      <c r="A30" s="178" t="s">
        <v>363</v>
      </c>
      <c r="B30" s="178" t="s">
        <v>224</v>
      </c>
      <c r="C30" s="465" t="s">
        <v>364</v>
      </c>
      <c r="D30" s="179" t="s">
        <v>365</v>
      </c>
      <c r="E30" s="180">
        <v>38.79</v>
      </c>
      <c r="F30" s="67"/>
      <c r="G30" s="61"/>
      <c r="H30" s="61"/>
    </row>
    <row r="31" spans="1:8" ht="30" customHeight="1">
      <c r="A31" s="177" t="s">
        <v>366</v>
      </c>
      <c r="B31" s="178" t="s">
        <v>229</v>
      </c>
      <c r="C31" s="465" t="s">
        <v>367</v>
      </c>
      <c r="D31" s="179" t="s">
        <v>365</v>
      </c>
      <c r="E31" s="180">
        <v>77.59</v>
      </c>
      <c r="F31" s="67"/>
      <c r="G31" s="61"/>
      <c r="H31" s="61"/>
    </row>
    <row r="32" spans="1:8" ht="30" customHeight="1">
      <c r="A32" s="177" t="s">
        <v>366</v>
      </c>
      <c r="B32" s="178" t="s">
        <v>219</v>
      </c>
      <c r="C32" s="465" t="s">
        <v>368</v>
      </c>
      <c r="D32" s="179" t="s">
        <v>365</v>
      </c>
      <c r="E32" s="180">
        <v>27.33</v>
      </c>
      <c r="F32" s="67"/>
      <c r="G32" s="61"/>
      <c r="H32" s="61"/>
    </row>
    <row r="33" spans="1:13" ht="30" customHeight="1">
      <c r="A33" s="177" t="s">
        <v>369</v>
      </c>
      <c r="B33" s="178" t="s">
        <v>370</v>
      </c>
      <c r="C33" s="465" t="s">
        <v>371</v>
      </c>
      <c r="D33" s="179" t="s">
        <v>308</v>
      </c>
      <c r="E33" s="180">
        <v>103.45</v>
      </c>
      <c r="F33" s="67"/>
      <c r="G33" s="61"/>
      <c r="H33" s="61"/>
    </row>
    <row r="34" spans="1:13" ht="30" customHeight="1">
      <c r="A34" s="177" t="s">
        <v>372</v>
      </c>
      <c r="B34" s="178" t="s">
        <v>373</v>
      </c>
      <c r="C34" s="465" t="s">
        <v>374</v>
      </c>
      <c r="D34" s="179" t="s">
        <v>375</v>
      </c>
      <c r="E34" s="180">
        <v>2600</v>
      </c>
      <c r="F34" s="67"/>
      <c r="G34" s="61"/>
      <c r="H34" s="61"/>
    </row>
    <row r="35" spans="1:13" ht="30" customHeight="1">
      <c r="A35" s="177" t="s">
        <v>372</v>
      </c>
      <c r="B35" s="178" t="s">
        <v>376</v>
      </c>
      <c r="C35" s="465" t="s">
        <v>377</v>
      </c>
      <c r="D35" s="179" t="s">
        <v>298</v>
      </c>
      <c r="E35" s="180">
        <v>94.83</v>
      </c>
      <c r="F35" s="67"/>
      <c r="G35" s="61"/>
      <c r="H35" s="61"/>
    </row>
    <row r="36" spans="1:13" ht="30" customHeight="1">
      <c r="A36" s="177" t="s">
        <v>372</v>
      </c>
      <c r="B36" s="178" t="s">
        <v>378</v>
      </c>
      <c r="C36" s="465" t="s">
        <v>379</v>
      </c>
      <c r="D36" s="179" t="s">
        <v>298</v>
      </c>
      <c r="E36" s="180">
        <v>43.97</v>
      </c>
      <c r="F36" s="67"/>
      <c r="G36" s="61"/>
      <c r="H36" s="61"/>
    </row>
    <row r="37" spans="1:13" ht="30" customHeight="1">
      <c r="A37" s="177" t="s">
        <v>372</v>
      </c>
      <c r="B37" s="178" t="s">
        <v>380</v>
      </c>
      <c r="C37" s="465" t="s">
        <v>381</v>
      </c>
      <c r="D37" s="179" t="s">
        <v>298</v>
      </c>
      <c r="E37" s="180">
        <v>38.5</v>
      </c>
      <c r="F37" s="67"/>
      <c r="G37" s="61"/>
      <c r="H37" s="61"/>
    </row>
    <row r="38" spans="1:13" ht="45" customHeight="1">
      <c r="A38" s="177" t="s">
        <v>382</v>
      </c>
      <c r="B38" s="178" t="s">
        <v>86</v>
      </c>
      <c r="C38" s="465" t="s">
        <v>383</v>
      </c>
      <c r="D38" s="179" t="s">
        <v>384</v>
      </c>
      <c r="E38" s="180">
        <v>125</v>
      </c>
      <c r="F38" s="67"/>
      <c r="G38" s="61"/>
      <c r="H38" s="61"/>
    </row>
    <row r="39" spans="1:13" ht="30" customHeight="1">
      <c r="A39" s="177" t="s">
        <v>372</v>
      </c>
      <c r="B39" s="178" t="s">
        <v>385</v>
      </c>
      <c r="C39" s="465" t="s">
        <v>386</v>
      </c>
      <c r="D39" s="179" t="s">
        <v>387</v>
      </c>
      <c r="E39" s="180">
        <v>30.2</v>
      </c>
      <c r="F39" s="67"/>
      <c r="G39" s="61"/>
      <c r="H39" s="61"/>
    </row>
    <row r="40" spans="1:13" ht="30" customHeight="1">
      <c r="A40" s="177" t="s">
        <v>388</v>
      </c>
      <c r="B40" s="178" t="s">
        <v>389</v>
      </c>
      <c r="C40" s="465" t="s">
        <v>390</v>
      </c>
      <c r="D40" s="179" t="s">
        <v>298</v>
      </c>
      <c r="E40" s="180">
        <v>2.33</v>
      </c>
      <c r="F40" s="67"/>
      <c r="G40" s="61"/>
      <c r="H40" s="61"/>
    </row>
    <row r="41" spans="1:13" ht="60" customHeight="1">
      <c r="A41" s="177" t="s">
        <v>391</v>
      </c>
      <c r="B41" s="181" t="s">
        <v>392</v>
      </c>
      <c r="C41" s="465" t="s">
        <v>393</v>
      </c>
      <c r="D41" s="179" t="s">
        <v>319</v>
      </c>
      <c r="E41" s="182">
        <v>30.6</v>
      </c>
      <c r="F41" s="67"/>
      <c r="G41" s="61"/>
      <c r="H41" s="61"/>
    </row>
    <row r="42" spans="1:13" ht="60" customHeight="1">
      <c r="A42" s="177" t="s">
        <v>394</v>
      </c>
      <c r="B42" s="178" t="s">
        <v>395</v>
      </c>
      <c r="C42" s="465" t="s">
        <v>396</v>
      </c>
      <c r="D42" s="179" t="s">
        <v>298</v>
      </c>
      <c r="E42" s="180">
        <v>24.91</v>
      </c>
      <c r="F42" s="67"/>
      <c r="G42" s="61"/>
      <c r="H42" s="61"/>
    </row>
    <row r="43" spans="1:13" ht="30" customHeight="1">
      <c r="A43" s="177" t="s">
        <v>397</v>
      </c>
      <c r="B43" s="178" t="s">
        <v>398</v>
      </c>
      <c r="C43" s="465" t="s">
        <v>399</v>
      </c>
      <c r="D43" s="179" t="s">
        <v>400</v>
      </c>
      <c r="E43" s="180"/>
      <c r="F43" s="67"/>
      <c r="G43" s="61"/>
      <c r="H43" s="61"/>
    </row>
    <row r="44" spans="1:13" ht="15" customHeight="1">
      <c r="A44" s="177" t="s">
        <v>401</v>
      </c>
      <c r="B44" s="178" t="s">
        <v>402</v>
      </c>
      <c r="C44" s="465" t="s">
        <v>403</v>
      </c>
      <c r="D44" s="179" t="s">
        <v>404</v>
      </c>
      <c r="E44" s="180">
        <v>34.4</v>
      </c>
      <c r="F44" s="67"/>
      <c r="G44" s="61"/>
      <c r="H44" s="61"/>
    </row>
    <row r="45" spans="1:13" ht="30" customHeight="1">
      <c r="A45" s="177" t="s">
        <v>405</v>
      </c>
      <c r="B45" s="178" t="s">
        <v>406</v>
      </c>
      <c r="C45" s="465" t="s">
        <v>407</v>
      </c>
      <c r="D45" s="179" t="s">
        <v>294</v>
      </c>
      <c r="E45" s="180">
        <v>59.48</v>
      </c>
      <c r="F45" s="67"/>
      <c r="G45" s="61"/>
      <c r="H45" s="61"/>
    </row>
    <row r="46" spans="1:13" ht="75" customHeight="1">
      <c r="A46" s="177" t="s">
        <v>408</v>
      </c>
      <c r="B46" s="178" t="s">
        <v>409</v>
      </c>
      <c r="C46" s="465" t="s">
        <v>410</v>
      </c>
      <c r="D46" s="179" t="s">
        <v>298</v>
      </c>
      <c r="E46" s="180">
        <v>27.33</v>
      </c>
      <c r="F46" s="67"/>
      <c r="G46" s="61"/>
      <c r="H46" s="61"/>
    </row>
    <row r="47" spans="1:13" ht="30" customHeight="1">
      <c r="A47" s="177" t="s">
        <v>411</v>
      </c>
      <c r="B47" s="178" t="s">
        <v>1045</v>
      </c>
      <c r="C47" s="465" t="s">
        <v>412</v>
      </c>
      <c r="D47" s="179" t="s">
        <v>298</v>
      </c>
      <c r="E47" s="180">
        <v>21.12</v>
      </c>
      <c r="F47" s="67"/>
      <c r="G47" s="61"/>
      <c r="H47" s="61"/>
    </row>
    <row r="48" spans="1:13" ht="60" customHeight="1">
      <c r="A48" s="177" t="s">
        <v>413</v>
      </c>
      <c r="B48" s="178" t="s">
        <v>414</v>
      </c>
      <c r="C48" s="465" t="s">
        <v>415</v>
      </c>
      <c r="D48" s="179" t="s">
        <v>298</v>
      </c>
      <c r="E48" s="180">
        <v>32.76</v>
      </c>
      <c r="F48" s="67"/>
      <c r="G48" s="61"/>
      <c r="H48" s="61"/>
      <c r="M48" s="543"/>
    </row>
    <row r="49" spans="1:12" ht="60" customHeight="1">
      <c r="A49" s="177" t="s">
        <v>416</v>
      </c>
      <c r="B49" s="178" t="s">
        <v>417</v>
      </c>
      <c r="C49" s="465" t="s">
        <v>418</v>
      </c>
      <c r="D49" s="179" t="s">
        <v>298</v>
      </c>
      <c r="E49" s="180">
        <v>6.03</v>
      </c>
      <c r="F49" s="67"/>
      <c r="G49" s="61"/>
      <c r="H49" s="61"/>
      <c r="L49" s="542"/>
    </row>
    <row r="50" spans="1:12" ht="60" customHeight="1">
      <c r="A50" s="177" t="s">
        <v>419</v>
      </c>
      <c r="B50" s="464" t="s">
        <v>1010</v>
      </c>
      <c r="C50" s="465" t="s">
        <v>420</v>
      </c>
      <c r="D50" s="179" t="s">
        <v>298</v>
      </c>
      <c r="E50" s="180">
        <v>99.14</v>
      </c>
      <c r="F50" s="67"/>
      <c r="G50" s="61"/>
      <c r="H50" s="61"/>
    </row>
    <row r="51" spans="1:12" ht="44.25" customHeight="1">
      <c r="A51" s="177" t="s">
        <v>421</v>
      </c>
      <c r="B51" s="178" t="s">
        <v>422</v>
      </c>
      <c r="C51" s="465" t="s">
        <v>423</v>
      </c>
      <c r="D51" s="179" t="s">
        <v>298</v>
      </c>
      <c r="E51" s="180">
        <v>60.34</v>
      </c>
      <c r="F51" s="67"/>
      <c r="G51" s="61"/>
      <c r="H51" s="61"/>
    </row>
    <row r="52" spans="1:12" ht="30" customHeight="1">
      <c r="A52" s="177" t="s">
        <v>424</v>
      </c>
      <c r="B52" s="178" t="s">
        <v>425</v>
      </c>
      <c r="C52" s="465" t="s">
        <v>426</v>
      </c>
      <c r="D52" s="179" t="s">
        <v>298</v>
      </c>
      <c r="E52" s="180">
        <v>103.79</v>
      </c>
      <c r="F52" s="67"/>
      <c r="G52" s="61"/>
      <c r="H52" s="61"/>
    </row>
    <row r="53" spans="1:12" ht="27.75" customHeight="1">
      <c r="A53" s="177" t="s">
        <v>427</v>
      </c>
      <c r="B53" s="178" t="s">
        <v>428</v>
      </c>
      <c r="C53" s="465" t="s">
        <v>429</v>
      </c>
      <c r="D53" s="179" t="s">
        <v>430</v>
      </c>
      <c r="E53" s="180">
        <v>223.07</v>
      </c>
      <c r="F53" s="67"/>
      <c r="G53" s="61"/>
      <c r="H53" s="61"/>
    </row>
    <row r="54" spans="1:12" ht="15" customHeight="1">
      <c r="A54" s="177" t="s">
        <v>431</v>
      </c>
      <c r="B54" s="178" t="s">
        <v>432</v>
      </c>
      <c r="C54" s="465" t="s">
        <v>433</v>
      </c>
      <c r="D54" s="179" t="s">
        <v>294</v>
      </c>
      <c r="E54" s="180">
        <v>43.8</v>
      </c>
      <c r="F54" s="67"/>
      <c r="G54" s="61"/>
      <c r="H54" s="61"/>
    </row>
    <row r="55" spans="1:12" ht="30" customHeight="1">
      <c r="A55" s="177" t="s">
        <v>431</v>
      </c>
      <c r="B55" s="178" t="s">
        <v>434</v>
      </c>
      <c r="C55" s="465" t="s">
        <v>435</v>
      </c>
      <c r="D55" s="179" t="s">
        <v>294</v>
      </c>
      <c r="E55" s="180">
        <v>9.98</v>
      </c>
      <c r="F55" s="475"/>
      <c r="G55" s="61"/>
      <c r="H55" s="61"/>
    </row>
    <row r="56" spans="1:12" ht="30" customHeight="1">
      <c r="A56" s="177" t="s">
        <v>431</v>
      </c>
      <c r="B56" s="178" t="s">
        <v>436</v>
      </c>
      <c r="C56" s="465" t="s">
        <v>437</v>
      </c>
      <c r="D56" s="179" t="s">
        <v>294</v>
      </c>
      <c r="E56" s="180">
        <v>11.26</v>
      </c>
      <c r="F56" s="67"/>
      <c r="G56" s="61"/>
      <c r="H56" s="61"/>
    </row>
    <row r="57" spans="1:12" ht="30" customHeight="1">
      <c r="A57" s="177" t="s">
        <v>431</v>
      </c>
      <c r="B57" s="178" t="s">
        <v>438</v>
      </c>
      <c r="C57" s="465" t="s">
        <v>439</v>
      </c>
      <c r="D57" s="179" t="s">
        <v>294</v>
      </c>
      <c r="E57" s="180">
        <v>7.11</v>
      </c>
      <c r="F57" s="67"/>
      <c r="G57" s="61"/>
      <c r="H57" s="61"/>
    </row>
    <row r="58" spans="1:12" ht="30" customHeight="1">
      <c r="A58" s="177" t="s">
        <v>431</v>
      </c>
      <c r="B58" s="178" t="s">
        <v>440</v>
      </c>
      <c r="C58" s="465" t="s">
        <v>441</v>
      </c>
      <c r="D58" s="179" t="s">
        <v>294</v>
      </c>
      <c r="E58" s="180">
        <v>5.99</v>
      </c>
      <c r="F58" s="67"/>
      <c r="G58" s="61"/>
      <c r="H58" s="61"/>
    </row>
    <row r="59" spans="1:12" ht="30" customHeight="1">
      <c r="A59" s="177" t="s">
        <v>431</v>
      </c>
      <c r="B59" s="178" t="s">
        <v>442</v>
      </c>
      <c r="C59" s="465" t="s">
        <v>443</v>
      </c>
      <c r="D59" s="179" t="s">
        <v>294</v>
      </c>
      <c r="E59" s="180">
        <v>43.8</v>
      </c>
      <c r="F59" s="67"/>
      <c r="G59" s="61"/>
      <c r="H59" s="61"/>
    </row>
    <row r="60" spans="1:12" ht="30" customHeight="1">
      <c r="A60" s="177" t="s">
        <v>431</v>
      </c>
      <c r="B60" s="178" t="s">
        <v>444</v>
      </c>
      <c r="C60" s="465" t="s">
        <v>445</v>
      </c>
      <c r="D60" s="179" t="s">
        <v>294</v>
      </c>
      <c r="E60" s="180">
        <v>196.25</v>
      </c>
      <c r="F60" s="67"/>
      <c r="G60" s="61"/>
      <c r="H60" s="61"/>
    </row>
    <row r="61" spans="1:12" ht="30" customHeight="1">
      <c r="A61" s="177" t="s">
        <v>431</v>
      </c>
      <c r="B61" s="178" t="s">
        <v>446</v>
      </c>
      <c r="C61" s="465" t="s">
        <v>447</v>
      </c>
      <c r="D61" s="179" t="s">
        <v>448</v>
      </c>
      <c r="E61" s="180">
        <v>162.53</v>
      </c>
      <c r="F61" s="67"/>
      <c r="G61" s="61"/>
      <c r="H61" s="61"/>
    </row>
    <row r="62" spans="1:12" ht="30" customHeight="1">
      <c r="A62" s="177" t="s">
        <v>449</v>
      </c>
      <c r="B62" s="178" t="s">
        <v>450</v>
      </c>
      <c r="C62" s="465" t="s">
        <v>451</v>
      </c>
      <c r="D62" s="179" t="s">
        <v>294</v>
      </c>
      <c r="E62" s="180">
        <v>8.6199999999999992</v>
      </c>
      <c r="F62" s="67"/>
      <c r="G62" s="61"/>
      <c r="H62" s="61"/>
    </row>
    <row r="63" spans="1:12" ht="30" customHeight="1">
      <c r="A63" s="177" t="s">
        <v>449</v>
      </c>
      <c r="B63" s="178" t="s">
        <v>452</v>
      </c>
      <c r="C63" s="465" t="s">
        <v>453</v>
      </c>
      <c r="D63" s="179" t="s">
        <v>294</v>
      </c>
      <c r="E63" s="180">
        <v>87.59</v>
      </c>
      <c r="F63" s="67"/>
      <c r="G63" s="61"/>
      <c r="H63" s="61"/>
    </row>
    <row r="64" spans="1:12" ht="30" customHeight="1">
      <c r="A64" s="177" t="s">
        <v>449</v>
      </c>
      <c r="B64" s="178" t="s">
        <v>454</v>
      </c>
      <c r="C64" s="465" t="s">
        <v>455</v>
      </c>
      <c r="D64" s="179" t="s">
        <v>298</v>
      </c>
      <c r="E64" s="180">
        <v>13.06</v>
      </c>
      <c r="F64" s="67"/>
      <c r="G64" s="61"/>
      <c r="H64" s="61"/>
    </row>
    <row r="65" spans="1:8" ht="30" customHeight="1">
      <c r="A65" s="177" t="s">
        <v>449</v>
      </c>
      <c r="B65" s="178" t="s">
        <v>456</v>
      </c>
      <c r="C65" s="465" t="s">
        <v>457</v>
      </c>
      <c r="D65" s="179" t="s">
        <v>298</v>
      </c>
      <c r="E65" s="180">
        <v>56.12</v>
      </c>
      <c r="F65" s="67"/>
      <c r="G65" s="61"/>
      <c r="H65" s="61"/>
    </row>
    <row r="66" spans="1:8" ht="30" customHeight="1">
      <c r="A66" s="177" t="s">
        <v>449</v>
      </c>
      <c r="B66" s="178" t="s">
        <v>458</v>
      </c>
      <c r="C66" s="465" t="s">
        <v>459</v>
      </c>
      <c r="D66" s="179" t="s">
        <v>460</v>
      </c>
      <c r="E66" s="180">
        <v>409.54</v>
      </c>
      <c r="F66" s="67"/>
      <c r="G66" s="61"/>
      <c r="H66" s="61"/>
    </row>
    <row r="67" spans="1:8" ht="30" customHeight="1">
      <c r="A67" s="177" t="s">
        <v>449</v>
      </c>
      <c r="B67" s="178" t="s">
        <v>461</v>
      </c>
      <c r="C67" s="465" t="s">
        <v>462</v>
      </c>
      <c r="D67" s="179" t="s">
        <v>298</v>
      </c>
      <c r="E67" s="180">
        <v>518.1</v>
      </c>
      <c r="F67" s="67"/>
      <c r="G67" s="61"/>
      <c r="H67" s="61"/>
    </row>
    <row r="68" spans="1:8" ht="30" customHeight="1">
      <c r="A68" s="177" t="s">
        <v>449</v>
      </c>
      <c r="B68" s="178" t="s">
        <v>463</v>
      </c>
      <c r="C68" s="465" t="s">
        <v>464</v>
      </c>
      <c r="D68" s="179" t="s">
        <v>298</v>
      </c>
      <c r="E68" s="180">
        <v>309.54000000000002</v>
      </c>
      <c r="F68" s="67"/>
      <c r="G68" s="61"/>
      <c r="H68" s="61"/>
    </row>
    <row r="69" spans="1:8" ht="30" customHeight="1">
      <c r="A69" s="177" t="s">
        <v>465</v>
      </c>
      <c r="B69" s="178" t="s">
        <v>466</v>
      </c>
      <c r="C69" s="465" t="s">
        <v>467</v>
      </c>
      <c r="D69" s="179" t="s">
        <v>298</v>
      </c>
      <c r="E69" s="180">
        <v>111.98</v>
      </c>
      <c r="F69" s="67"/>
      <c r="G69" s="61"/>
      <c r="H69" s="61"/>
    </row>
    <row r="70" spans="1:8" ht="30" customHeight="1">
      <c r="A70" s="177" t="s">
        <v>468</v>
      </c>
      <c r="B70" s="178" t="s">
        <v>469</v>
      </c>
      <c r="C70" s="465" t="s">
        <v>470</v>
      </c>
      <c r="D70" s="179" t="s">
        <v>294</v>
      </c>
      <c r="E70" s="180">
        <v>378.44</v>
      </c>
      <c r="F70" s="67"/>
      <c r="G70" s="61"/>
      <c r="H70" s="61"/>
    </row>
    <row r="71" spans="1:8" ht="30" customHeight="1">
      <c r="A71" s="177" t="s">
        <v>471</v>
      </c>
      <c r="B71" s="178" t="s">
        <v>472</v>
      </c>
      <c r="C71" s="629" t="s">
        <v>473</v>
      </c>
      <c r="D71" s="179" t="s">
        <v>294</v>
      </c>
      <c r="E71" s="180">
        <v>959.48</v>
      </c>
      <c r="F71" s="67"/>
      <c r="G71" s="61"/>
      <c r="H71" s="61"/>
    </row>
    <row r="72" spans="1:8" ht="30" customHeight="1">
      <c r="A72" s="177" t="s">
        <v>474</v>
      </c>
      <c r="B72" s="178" t="s">
        <v>475</v>
      </c>
      <c r="C72" s="465" t="s">
        <v>476</v>
      </c>
      <c r="D72" s="179" t="s">
        <v>298</v>
      </c>
      <c r="E72" s="180">
        <v>5007.75</v>
      </c>
      <c r="F72" s="67"/>
      <c r="G72" s="61"/>
      <c r="H72" s="61"/>
    </row>
    <row r="73" spans="1:8" ht="30" customHeight="1">
      <c r="A73" s="177" t="s">
        <v>477</v>
      </c>
      <c r="B73" s="178" t="s">
        <v>478</v>
      </c>
      <c r="C73" s="465" t="s">
        <v>479</v>
      </c>
      <c r="D73" s="179" t="s">
        <v>232</v>
      </c>
      <c r="E73" s="180">
        <v>358.53</v>
      </c>
      <c r="F73" s="67"/>
      <c r="G73" s="61"/>
      <c r="H73" s="61"/>
    </row>
    <row r="74" spans="1:8" ht="15" customHeight="1">
      <c r="A74" s="177" t="s">
        <v>480</v>
      </c>
      <c r="B74" s="178" t="s">
        <v>481</v>
      </c>
      <c r="C74" s="465" t="s">
        <v>482</v>
      </c>
      <c r="D74" s="179" t="s">
        <v>6</v>
      </c>
      <c r="E74" s="180">
        <v>203.44</v>
      </c>
      <c r="F74" s="67"/>
      <c r="G74" s="61"/>
      <c r="H74" s="61"/>
    </row>
    <row r="75" spans="1:8" ht="30" customHeight="1">
      <c r="A75" s="177" t="s">
        <v>483</v>
      </c>
      <c r="B75" s="178" t="s">
        <v>484</v>
      </c>
      <c r="C75" s="465" t="s">
        <v>485</v>
      </c>
      <c r="D75" s="179" t="s">
        <v>365</v>
      </c>
      <c r="E75" s="180">
        <v>30.17</v>
      </c>
      <c r="F75" s="67"/>
      <c r="G75" s="61"/>
      <c r="H75" s="61"/>
    </row>
    <row r="76" spans="1:8" ht="45" customHeight="1">
      <c r="A76" s="177" t="s">
        <v>486</v>
      </c>
      <c r="B76" s="178" t="s">
        <v>487</v>
      </c>
      <c r="C76" s="465" t="s">
        <v>488</v>
      </c>
      <c r="D76" s="179" t="s">
        <v>298</v>
      </c>
      <c r="E76" s="180">
        <v>249.13</v>
      </c>
      <c r="F76" s="67"/>
      <c r="G76" s="61"/>
      <c r="H76" s="61"/>
    </row>
    <row r="77" spans="1:8" ht="30" customHeight="1">
      <c r="A77" s="177" t="s">
        <v>489</v>
      </c>
      <c r="B77" s="178" t="s">
        <v>490</v>
      </c>
      <c r="C77" s="465" t="s">
        <v>491</v>
      </c>
      <c r="D77" s="179" t="s">
        <v>298</v>
      </c>
      <c r="E77" s="180">
        <v>111.2</v>
      </c>
      <c r="F77" s="67"/>
      <c r="G77" s="61"/>
      <c r="H77" s="61"/>
    </row>
    <row r="78" spans="1:8" ht="51" customHeight="1">
      <c r="A78" s="177" t="s">
        <v>492</v>
      </c>
      <c r="B78" s="464" t="s">
        <v>1007</v>
      </c>
      <c r="C78" s="465" t="s">
        <v>493</v>
      </c>
      <c r="D78" s="179" t="s">
        <v>298</v>
      </c>
      <c r="E78" s="180">
        <v>3017.24</v>
      </c>
      <c r="F78" s="67"/>
      <c r="G78" s="61"/>
      <c r="H78" s="61"/>
    </row>
    <row r="79" spans="1:8" ht="30" customHeight="1">
      <c r="A79" s="177" t="s">
        <v>494</v>
      </c>
      <c r="B79" s="178" t="s">
        <v>495</v>
      </c>
      <c r="C79" s="465" t="s">
        <v>496</v>
      </c>
      <c r="D79" s="179" t="s">
        <v>298</v>
      </c>
      <c r="E79" s="180">
        <v>20.25</v>
      </c>
      <c r="F79" s="67"/>
      <c r="G79" s="61"/>
      <c r="H79" s="61"/>
    </row>
    <row r="80" spans="1:8" ht="30" customHeight="1">
      <c r="A80" s="178" t="s">
        <v>497</v>
      </c>
      <c r="B80" s="178" t="s">
        <v>1296</v>
      </c>
      <c r="C80" s="465" t="s">
        <v>498</v>
      </c>
      <c r="D80" s="179" t="s">
        <v>298</v>
      </c>
      <c r="E80" s="180">
        <v>1840.51</v>
      </c>
      <c r="F80" s="67"/>
      <c r="G80" s="61"/>
      <c r="H80" s="61"/>
    </row>
    <row r="81" spans="1:8" ht="30" customHeight="1">
      <c r="A81" s="177" t="s">
        <v>499</v>
      </c>
      <c r="B81" s="178" t="s">
        <v>500</v>
      </c>
      <c r="C81" s="465" t="s">
        <v>501</v>
      </c>
      <c r="D81" s="179" t="s">
        <v>298</v>
      </c>
      <c r="E81" s="180">
        <v>778.12</v>
      </c>
      <c r="F81" s="67"/>
      <c r="G81" s="61"/>
      <c r="H81" s="61"/>
    </row>
    <row r="82" spans="1:8" ht="15" customHeight="1">
      <c r="A82" s="177" t="s">
        <v>502</v>
      </c>
      <c r="B82" s="464" t="s">
        <v>1008</v>
      </c>
      <c r="C82" s="465" t="s">
        <v>503</v>
      </c>
      <c r="D82" s="179" t="s">
        <v>298</v>
      </c>
      <c r="E82" s="180">
        <v>343.96</v>
      </c>
      <c r="F82" s="67"/>
      <c r="G82" s="61"/>
      <c r="H82" s="61"/>
    </row>
    <row r="83" spans="1:8" ht="30" customHeight="1">
      <c r="A83" s="178" t="s">
        <v>504</v>
      </c>
      <c r="B83" s="178" t="s">
        <v>505</v>
      </c>
      <c r="C83" s="465" t="s">
        <v>506</v>
      </c>
      <c r="D83" s="179" t="s">
        <v>6</v>
      </c>
      <c r="E83" s="180">
        <v>688.79</v>
      </c>
      <c r="F83" s="67"/>
      <c r="G83" s="61"/>
      <c r="H83" s="61"/>
    </row>
    <row r="84" spans="1:8" ht="30" customHeight="1">
      <c r="A84" s="177" t="s">
        <v>471</v>
      </c>
      <c r="B84" s="178" t="s">
        <v>507</v>
      </c>
      <c r="C84" s="465" t="s">
        <v>508</v>
      </c>
      <c r="D84" s="179" t="s">
        <v>298</v>
      </c>
      <c r="E84" s="180">
        <v>275.86</v>
      </c>
      <c r="F84" s="67"/>
      <c r="G84" s="61"/>
      <c r="H84" s="61"/>
    </row>
    <row r="85" spans="1:8" ht="30" customHeight="1">
      <c r="A85" s="177" t="s">
        <v>509</v>
      </c>
      <c r="B85" s="178" t="s">
        <v>510</v>
      </c>
      <c r="C85" s="465" t="s">
        <v>511</v>
      </c>
      <c r="D85" s="179" t="s">
        <v>6</v>
      </c>
      <c r="E85" s="180">
        <v>550</v>
      </c>
      <c r="F85" s="67"/>
      <c r="G85" s="61"/>
      <c r="H85" s="61"/>
    </row>
    <row r="86" spans="1:8" ht="30" customHeight="1">
      <c r="A86" s="177" t="s">
        <v>512</v>
      </c>
      <c r="B86" s="178" t="s">
        <v>513</v>
      </c>
      <c r="C86" s="465" t="s">
        <v>514</v>
      </c>
      <c r="D86" s="179" t="s">
        <v>298</v>
      </c>
      <c r="E86" s="180">
        <v>249.14</v>
      </c>
      <c r="F86" s="67"/>
      <c r="G86" s="61"/>
      <c r="H86" s="61"/>
    </row>
    <row r="87" spans="1:8" ht="30" customHeight="1">
      <c r="A87" s="177" t="s">
        <v>515</v>
      </c>
      <c r="B87" s="178" t="s">
        <v>516</v>
      </c>
      <c r="C87" s="465" t="s">
        <v>517</v>
      </c>
      <c r="D87" s="179" t="s">
        <v>298</v>
      </c>
      <c r="E87" s="180">
        <v>63.36</v>
      </c>
      <c r="F87" s="67"/>
      <c r="G87" s="61"/>
      <c r="H87" s="61"/>
    </row>
    <row r="88" spans="1:8" ht="30" customHeight="1">
      <c r="A88" s="177" t="s">
        <v>518</v>
      </c>
      <c r="B88" s="178" t="s">
        <v>519</v>
      </c>
      <c r="C88" s="465" t="s">
        <v>520</v>
      </c>
      <c r="D88" s="179" t="s">
        <v>298</v>
      </c>
      <c r="E88" s="180">
        <v>43.1</v>
      </c>
      <c r="F88" s="67"/>
      <c r="G88" s="61"/>
      <c r="H88" s="61"/>
    </row>
    <row r="89" spans="1:8" ht="30" customHeight="1">
      <c r="A89" s="177" t="s">
        <v>471</v>
      </c>
      <c r="B89" s="178" t="s">
        <v>521</v>
      </c>
      <c r="C89" s="465" t="s">
        <v>522</v>
      </c>
      <c r="D89" s="179" t="s">
        <v>298</v>
      </c>
      <c r="E89" s="180">
        <v>3413.79</v>
      </c>
      <c r="F89" s="67"/>
      <c r="G89" s="61"/>
      <c r="H89" s="61"/>
    </row>
    <row r="90" spans="1:8" ht="30" customHeight="1">
      <c r="A90" s="177" t="s">
        <v>523</v>
      </c>
      <c r="B90" s="178" t="s">
        <v>524</v>
      </c>
      <c r="C90" s="465" t="s">
        <v>525</v>
      </c>
      <c r="D90" s="179" t="s">
        <v>6</v>
      </c>
      <c r="E90" s="180">
        <v>6.89</v>
      </c>
      <c r="F90" s="67"/>
      <c r="G90" s="61"/>
      <c r="H90" s="61"/>
    </row>
    <row r="91" spans="1:8" ht="30" customHeight="1">
      <c r="A91" s="177" t="s">
        <v>526</v>
      </c>
      <c r="B91" s="178" t="s">
        <v>527</v>
      </c>
      <c r="C91" s="465" t="s">
        <v>528</v>
      </c>
      <c r="D91" s="179" t="s">
        <v>6</v>
      </c>
      <c r="E91" s="180">
        <v>119.83</v>
      </c>
      <c r="F91" s="67"/>
      <c r="G91" s="61"/>
      <c r="H91" s="61"/>
    </row>
    <row r="92" spans="1:8" ht="30" customHeight="1">
      <c r="A92" s="177" t="s">
        <v>529</v>
      </c>
      <c r="B92" s="178" t="s">
        <v>530</v>
      </c>
      <c r="C92" s="465" t="s">
        <v>531</v>
      </c>
      <c r="D92" s="179" t="s">
        <v>298</v>
      </c>
      <c r="E92" s="180">
        <v>56.03</v>
      </c>
      <c r="F92" s="67"/>
      <c r="G92" s="61"/>
      <c r="H92" s="61"/>
    </row>
    <row r="93" spans="1:8" ht="30" customHeight="1">
      <c r="A93" s="177" t="s">
        <v>532</v>
      </c>
      <c r="B93" s="178" t="s">
        <v>533</v>
      </c>
      <c r="C93" s="465" t="s">
        <v>534</v>
      </c>
      <c r="D93" s="179" t="s">
        <v>298</v>
      </c>
      <c r="E93" s="180">
        <v>44.83</v>
      </c>
      <c r="F93" s="67"/>
      <c r="G93" s="61"/>
      <c r="H93" s="61"/>
    </row>
    <row r="94" spans="1:8" ht="30" customHeight="1">
      <c r="A94" s="177" t="s">
        <v>535</v>
      </c>
      <c r="B94" s="178" t="s">
        <v>536</v>
      </c>
      <c r="C94" s="465" t="s">
        <v>537</v>
      </c>
      <c r="D94" s="179" t="s">
        <v>298</v>
      </c>
      <c r="E94" s="180">
        <v>27.5</v>
      </c>
      <c r="F94" s="67"/>
      <c r="G94" s="61"/>
      <c r="H94" s="61"/>
    </row>
    <row r="95" spans="1:8" ht="30" customHeight="1">
      <c r="A95" s="177" t="s">
        <v>538</v>
      </c>
      <c r="B95" s="178" t="s">
        <v>539</v>
      </c>
      <c r="C95" s="465" t="s">
        <v>540</v>
      </c>
      <c r="D95" s="179" t="s">
        <v>298</v>
      </c>
      <c r="E95" s="180">
        <v>4.67</v>
      </c>
      <c r="F95" s="67"/>
      <c r="G95" s="61"/>
      <c r="H95" s="61"/>
    </row>
    <row r="96" spans="1:8" ht="30" customHeight="1">
      <c r="A96" s="177" t="s">
        <v>538</v>
      </c>
      <c r="B96" s="178" t="s">
        <v>541</v>
      </c>
      <c r="C96" s="465" t="s">
        <v>542</v>
      </c>
      <c r="D96" s="179" t="s">
        <v>294</v>
      </c>
      <c r="E96" s="180">
        <v>346.55</v>
      </c>
      <c r="F96" s="67"/>
      <c r="G96" s="61"/>
      <c r="H96" s="61"/>
    </row>
    <row r="97" spans="1:8" ht="30" customHeight="1">
      <c r="A97" s="177" t="s">
        <v>543</v>
      </c>
      <c r="B97" s="178" t="s">
        <v>544</v>
      </c>
      <c r="C97" s="465" t="s">
        <v>545</v>
      </c>
      <c r="D97" s="179" t="s">
        <v>298</v>
      </c>
      <c r="E97" s="180">
        <v>4409</v>
      </c>
      <c r="F97" s="67"/>
      <c r="G97" s="61"/>
      <c r="H97" s="61"/>
    </row>
    <row r="98" spans="1:8" ht="30" customHeight="1">
      <c r="A98" s="177" t="s">
        <v>538</v>
      </c>
      <c r="B98" s="178" t="s">
        <v>546</v>
      </c>
      <c r="C98" s="465" t="s">
        <v>547</v>
      </c>
      <c r="D98" s="179" t="s">
        <v>298</v>
      </c>
      <c r="E98" s="180">
        <v>112.07</v>
      </c>
      <c r="F98" s="67"/>
      <c r="G98" s="61"/>
      <c r="H98" s="61"/>
    </row>
    <row r="99" spans="1:8" ht="30" customHeight="1">
      <c r="A99" s="177" t="s">
        <v>548</v>
      </c>
      <c r="B99" s="178" t="s">
        <v>549</v>
      </c>
      <c r="C99" s="465" t="s">
        <v>550</v>
      </c>
      <c r="D99" s="179" t="s">
        <v>298</v>
      </c>
      <c r="E99" s="180">
        <v>430.17</v>
      </c>
      <c r="F99" s="67"/>
      <c r="G99" s="61"/>
      <c r="H99" s="61"/>
    </row>
    <row r="100" spans="1:8" ht="30" customHeight="1">
      <c r="A100" s="177" t="s">
        <v>523</v>
      </c>
      <c r="B100" s="178" t="s">
        <v>551</v>
      </c>
      <c r="C100" s="465" t="s">
        <v>552</v>
      </c>
      <c r="D100" s="179" t="s">
        <v>298</v>
      </c>
      <c r="E100" s="180">
        <v>2056.0300000000002</v>
      </c>
      <c r="F100" s="67"/>
      <c r="G100" s="61"/>
      <c r="H100" s="61"/>
    </row>
    <row r="101" spans="1:8" ht="30" customHeight="1">
      <c r="A101" s="177" t="s">
        <v>523</v>
      </c>
      <c r="B101" s="178" t="s">
        <v>553</v>
      </c>
      <c r="C101" s="465" t="s">
        <v>554</v>
      </c>
      <c r="D101" s="179" t="s">
        <v>298</v>
      </c>
      <c r="E101" s="180">
        <v>142.24</v>
      </c>
      <c r="F101" s="67"/>
      <c r="G101" s="61"/>
      <c r="H101" s="61"/>
    </row>
    <row r="102" spans="1:8" ht="30" customHeight="1">
      <c r="A102" s="177" t="s">
        <v>523</v>
      </c>
      <c r="B102" s="178" t="s">
        <v>555</v>
      </c>
      <c r="C102" s="465" t="s">
        <v>556</v>
      </c>
      <c r="D102" s="179" t="s">
        <v>298</v>
      </c>
      <c r="E102" s="180">
        <v>21.47</v>
      </c>
      <c r="F102" s="67"/>
      <c r="G102" s="61"/>
      <c r="H102" s="61"/>
    </row>
    <row r="103" spans="1:8" ht="30" customHeight="1">
      <c r="A103" s="177" t="s">
        <v>523</v>
      </c>
      <c r="B103" s="178" t="s">
        <v>557</v>
      </c>
      <c r="C103" s="630" t="s">
        <v>1060</v>
      </c>
      <c r="D103" s="179" t="s">
        <v>298</v>
      </c>
      <c r="E103" s="180">
        <v>3.01</v>
      </c>
      <c r="F103" s="67"/>
      <c r="G103" s="61"/>
      <c r="H103" s="61"/>
    </row>
    <row r="104" spans="1:8" ht="30" customHeight="1">
      <c r="A104" s="177" t="s">
        <v>558</v>
      </c>
      <c r="B104" s="178" t="s">
        <v>559</v>
      </c>
      <c r="C104" s="465" t="s">
        <v>560</v>
      </c>
      <c r="D104" s="179" t="s">
        <v>298</v>
      </c>
      <c r="E104" s="180">
        <v>17.11</v>
      </c>
      <c r="F104" s="67"/>
      <c r="G104" s="61"/>
      <c r="H104" s="61"/>
    </row>
    <row r="105" spans="1:8" ht="30" customHeight="1">
      <c r="A105" s="177" t="s">
        <v>561</v>
      </c>
      <c r="B105" s="178" t="s">
        <v>562</v>
      </c>
      <c r="C105" s="465" t="s">
        <v>563</v>
      </c>
      <c r="D105" s="179" t="s">
        <v>298</v>
      </c>
      <c r="E105" s="180">
        <v>119.83</v>
      </c>
      <c r="F105" s="67"/>
      <c r="G105" s="61"/>
      <c r="H105" s="61"/>
    </row>
    <row r="106" spans="1:8" ht="30" customHeight="1">
      <c r="A106" s="177" t="s">
        <v>564</v>
      </c>
      <c r="B106" s="178" t="s">
        <v>565</v>
      </c>
      <c r="C106" s="465" t="s">
        <v>566</v>
      </c>
      <c r="D106" s="179" t="s">
        <v>319</v>
      </c>
      <c r="E106" s="180">
        <v>8.1300000000000008</v>
      </c>
      <c r="F106" s="67"/>
      <c r="G106" s="61"/>
      <c r="H106" s="61"/>
    </row>
    <row r="107" spans="1:8" ht="30" customHeight="1">
      <c r="A107" s="177" t="s">
        <v>558</v>
      </c>
      <c r="B107" s="178" t="s">
        <v>567</v>
      </c>
      <c r="C107" s="465" t="s">
        <v>568</v>
      </c>
      <c r="D107" s="179" t="s">
        <v>298</v>
      </c>
      <c r="E107" s="180">
        <v>16.14</v>
      </c>
      <c r="F107" s="67"/>
      <c r="G107" s="61"/>
      <c r="H107" s="61"/>
    </row>
    <row r="108" spans="1:8" ht="30" customHeight="1">
      <c r="A108" s="177" t="s">
        <v>558</v>
      </c>
      <c r="B108" s="178" t="s">
        <v>569</v>
      </c>
      <c r="C108" s="465" t="s">
        <v>570</v>
      </c>
      <c r="D108" s="179" t="s">
        <v>298</v>
      </c>
      <c r="E108" s="180">
        <v>76.98</v>
      </c>
      <c r="F108" s="67"/>
      <c r="G108" s="61"/>
      <c r="H108" s="61"/>
    </row>
    <row r="109" spans="1:8" ht="30" customHeight="1">
      <c r="A109" s="177" t="s">
        <v>523</v>
      </c>
      <c r="B109" s="178" t="s">
        <v>571</v>
      </c>
      <c r="C109" s="465" t="s">
        <v>572</v>
      </c>
      <c r="D109" s="179" t="s">
        <v>298</v>
      </c>
      <c r="E109" s="180">
        <v>28.4</v>
      </c>
      <c r="F109" s="67"/>
      <c r="G109" s="61"/>
      <c r="H109" s="61"/>
    </row>
    <row r="110" spans="1:8" ht="30" customHeight="1">
      <c r="A110" s="177" t="s">
        <v>538</v>
      </c>
      <c r="B110" s="178" t="s">
        <v>573</v>
      </c>
      <c r="C110" s="465" t="s">
        <v>574</v>
      </c>
      <c r="D110" s="179" t="s">
        <v>298</v>
      </c>
      <c r="E110" s="180">
        <v>32.630000000000003</v>
      </c>
      <c r="F110" s="67"/>
      <c r="G110" s="61"/>
      <c r="H110" s="61"/>
    </row>
    <row r="111" spans="1:8" ht="30" customHeight="1">
      <c r="A111" s="177" t="s">
        <v>523</v>
      </c>
      <c r="B111" s="178" t="s">
        <v>65</v>
      </c>
      <c r="C111" s="465" t="s">
        <v>575</v>
      </c>
      <c r="D111" s="179" t="s">
        <v>298</v>
      </c>
      <c r="E111" s="180">
        <v>50</v>
      </c>
      <c r="F111" s="67"/>
      <c r="G111" s="61"/>
      <c r="H111" s="61"/>
    </row>
    <row r="112" spans="1:8" ht="30" customHeight="1">
      <c r="A112" s="177" t="s">
        <v>576</v>
      </c>
      <c r="B112" s="178" t="s">
        <v>577</v>
      </c>
      <c r="C112" s="465" t="s">
        <v>578</v>
      </c>
      <c r="D112" s="179" t="s">
        <v>579</v>
      </c>
      <c r="E112" s="180">
        <v>5092</v>
      </c>
      <c r="F112" s="67"/>
      <c r="G112" s="61"/>
      <c r="H112" s="61"/>
    </row>
    <row r="113" spans="1:8" ht="30" customHeight="1">
      <c r="A113" s="177" t="s">
        <v>580</v>
      </c>
      <c r="B113" s="178" t="s">
        <v>56</v>
      </c>
      <c r="C113" s="465" t="s">
        <v>581</v>
      </c>
      <c r="D113" s="179" t="s">
        <v>582</v>
      </c>
      <c r="E113" s="180">
        <v>1573.55</v>
      </c>
      <c r="F113" s="67"/>
      <c r="G113" s="61"/>
      <c r="H113" s="61"/>
    </row>
    <row r="114" spans="1:8" ht="30" customHeight="1">
      <c r="A114" s="177" t="s">
        <v>580</v>
      </c>
      <c r="B114" s="178" t="s">
        <v>583</v>
      </c>
      <c r="C114" s="465" t="s">
        <v>584</v>
      </c>
      <c r="D114" s="179" t="s">
        <v>6</v>
      </c>
      <c r="E114" s="180">
        <v>1213</v>
      </c>
      <c r="F114" s="67"/>
      <c r="G114" s="61"/>
      <c r="H114" s="61"/>
    </row>
    <row r="115" spans="1:8" ht="30" customHeight="1">
      <c r="A115" s="177" t="s">
        <v>538</v>
      </c>
      <c r="B115" s="178" t="s">
        <v>996</v>
      </c>
      <c r="C115" s="465" t="s">
        <v>585</v>
      </c>
      <c r="D115" s="179" t="s">
        <v>298</v>
      </c>
      <c r="E115" s="180">
        <v>84.62</v>
      </c>
      <c r="F115" s="67"/>
      <c r="G115" s="61"/>
      <c r="H115" s="61"/>
    </row>
    <row r="116" spans="1:8" ht="30" customHeight="1">
      <c r="A116" s="177" t="s">
        <v>538</v>
      </c>
      <c r="B116" s="178" t="s">
        <v>985</v>
      </c>
      <c r="C116" s="465" t="s">
        <v>586</v>
      </c>
      <c r="D116" s="179" t="s">
        <v>298</v>
      </c>
      <c r="E116" s="180">
        <v>84.62</v>
      </c>
      <c r="F116" s="67"/>
      <c r="G116" s="61"/>
      <c r="H116" s="61"/>
    </row>
    <row r="117" spans="1:8" ht="30" customHeight="1">
      <c r="A117" s="177" t="s">
        <v>538</v>
      </c>
      <c r="B117" s="178" t="s">
        <v>997</v>
      </c>
      <c r="C117" s="465" t="s">
        <v>587</v>
      </c>
      <c r="D117" s="179" t="s">
        <v>298</v>
      </c>
      <c r="E117" s="180">
        <v>823.92</v>
      </c>
      <c r="F117" s="67"/>
      <c r="G117" s="61"/>
      <c r="H117" s="61"/>
    </row>
    <row r="118" spans="1:8" ht="30" customHeight="1">
      <c r="A118" s="177" t="s">
        <v>523</v>
      </c>
      <c r="B118" s="178" t="s">
        <v>588</v>
      </c>
      <c r="C118" s="465" t="s">
        <v>589</v>
      </c>
      <c r="D118" s="179" t="s">
        <v>298</v>
      </c>
      <c r="E118" s="180">
        <v>1050</v>
      </c>
      <c r="F118" s="67"/>
      <c r="G118" s="61"/>
      <c r="H118" s="61"/>
    </row>
    <row r="119" spans="1:8" ht="30" customHeight="1">
      <c r="A119" s="177" t="s">
        <v>523</v>
      </c>
      <c r="B119" s="178" t="s">
        <v>590</v>
      </c>
      <c r="C119" s="465" t="s">
        <v>591</v>
      </c>
      <c r="D119" s="179" t="s">
        <v>298</v>
      </c>
      <c r="E119" s="180">
        <v>1667</v>
      </c>
      <c r="F119" s="67"/>
      <c r="G119" s="61"/>
      <c r="H119" s="61"/>
    </row>
    <row r="120" spans="1:8" ht="30" customHeight="1">
      <c r="A120" s="177" t="s">
        <v>523</v>
      </c>
      <c r="B120" s="178" t="s">
        <v>592</v>
      </c>
      <c r="C120" s="465" t="s">
        <v>593</v>
      </c>
      <c r="D120" s="179" t="s">
        <v>298</v>
      </c>
      <c r="E120" s="180">
        <v>11.12</v>
      </c>
      <c r="F120" s="67"/>
      <c r="G120" s="61"/>
      <c r="H120" s="61"/>
    </row>
    <row r="121" spans="1:8" ht="30" customHeight="1">
      <c r="A121" s="177" t="s">
        <v>523</v>
      </c>
      <c r="B121" s="178" t="s">
        <v>594</v>
      </c>
      <c r="C121" s="465" t="s">
        <v>595</v>
      </c>
      <c r="D121" s="179" t="s">
        <v>298</v>
      </c>
      <c r="E121" s="180">
        <v>6.29</v>
      </c>
      <c r="F121" s="67"/>
      <c r="G121" s="61"/>
      <c r="H121" s="61"/>
    </row>
    <row r="122" spans="1:8" ht="30" customHeight="1">
      <c r="A122" s="177" t="s">
        <v>596</v>
      </c>
      <c r="B122" s="178" t="s">
        <v>597</v>
      </c>
      <c r="C122" s="465" t="s">
        <v>598</v>
      </c>
      <c r="D122" s="179" t="s">
        <v>298</v>
      </c>
      <c r="E122" s="180">
        <v>9.91</v>
      </c>
      <c r="F122" s="67"/>
      <c r="G122" s="61"/>
      <c r="H122" s="61"/>
    </row>
    <row r="123" spans="1:8" ht="30" customHeight="1">
      <c r="A123" s="177" t="s">
        <v>599</v>
      </c>
      <c r="B123" s="178" t="s">
        <v>600</v>
      </c>
      <c r="C123" s="465" t="s">
        <v>601</v>
      </c>
      <c r="D123" s="179" t="s">
        <v>232</v>
      </c>
      <c r="E123" s="180">
        <v>11.12</v>
      </c>
      <c r="F123" s="67"/>
      <c r="G123" s="61"/>
      <c r="H123" s="61"/>
    </row>
    <row r="124" spans="1:8" ht="30" customHeight="1">
      <c r="A124" s="177" t="s">
        <v>599</v>
      </c>
      <c r="B124" s="178" t="s">
        <v>602</v>
      </c>
      <c r="C124" s="465" t="s">
        <v>603</v>
      </c>
      <c r="D124" s="179" t="s">
        <v>298</v>
      </c>
      <c r="E124" s="180">
        <v>45.34</v>
      </c>
      <c r="F124" s="67"/>
      <c r="G124" s="61"/>
      <c r="H124" s="61"/>
    </row>
    <row r="125" spans="1:8" ht="30" customHeight="1">
      <c r="A125" s="177" t="s">
        <v>523</v>
      </c>
      <c r="B125" s="178" t="s">
        <v>604</v>
      </c>
      <c r="C125" s="465" t="s">
        <v>605</v>
      </c>
      <c r="D125" s="179" t="s">
        <v>298</v>
      </c>
      <c r="E125" s="180">
        <v>58.62</v>
      </c>
      <c r="F125" s="67"/>
      <c r="G125" s="61"/>
      <c r="H125" s="61"/>
    </row>
    <row r="126" spans="1:8" ht="30" customHeight="1">
      <c r="A126" s="177" t="s">
        <v>523</v>
      </c>
      <c r="B126" s="178" t="s">
        <v>606</v>
      </c>
      <c r="C126" s="465" t="s">
        <v>607</v>
      </c>
      <c r="D126" s="179" t="s">
        <v>298</v>
      </c>
      <c r="E126" s="180">
        <v>59</v>
      </c>
      <c r="F126" s="67"/>
      <c r="G126" s="61"/>
      <c r="H126" s="61"/>
    </row>
    <row r="127" spans="1:8" ht="30" customHeight="1">
      <c r="A127" s="177" t="s">
        <v>523</v>
      </c>
      <c r="B127" s="178" t="s">
        <v>608</v>
      </c>
      <c r="C127" s="465" t="s">
        <v>609</v>
      </c>
      <c r="D127" s="179" t="s">
        <v>298</v>
      </c>
      <c r="E127" s="180">
        <v>530</v>
      </c>
      <c r="F127" s="67"/>
      <c r="G127" s="61"/>
      <c r="H127" s="61"/>
    </row>
    <row r="128" spans="1:8" ht="30" customHeight="1">
      <c r="A128" s="177" t="s">
        <v>610</v>
      </c>
      <c r="B128" s="178" t="s">
        <v>988</v>
      </c>
      <c r="C128" s="465" t="s">
        <v>611</v>
      </c>
      <c r="D128" s="179" t="s">
        <v>6</v>
      </c>
      <c r="E128" s="180">
        <v>309.48</v>
      </c>
      <c r="F128" s="67"/>
      <c r="G128" s="61"/>
      <c r="H128" s="61"/>
    </row>
    <row r="129" spans="1:8" ht="30" customHeight="1">
      <c r="A129" s="177" t="s">
        <v>523</v>
      </c>
      <c r="B129" s="178" t="s">
        <v>612</v>
      </c>
      <c r="C129" s="465" t="s">
        <v>613</v>
      </c>
      <c r="D129" s="179" t="s">
        <v>298</v>
      </c>
      <c r="E129" s="180">
        <v>47.41</v>
      </c>
      <c r="F129" s="67"/>
      <c r="G129" s="61"/>
      <c r="H129" s="61"/>
    </row>
    <row r="130" spans="1:8" ht="30" customHeight="1">
      <c r="A130" s="177" t="s">
        <v>523</v>
      </c>
      <c r="B130" s="178" t="s">
        <v>614</v>
      </c>
      <c r="C130" s="465" t="s">
        <v>615</v>
      </c>
      <c r="D130" s="179" t="s">
        <v>298</v>
      </c>
      <c r="E130" s="180">
        <v>1.23</v>
      </c>
      <c r="F130" s="67"/>
      <c r="G130" s="61"/>
      <c r="H130" s="61"/>
    </row>
    <row r="131" spans="1:8" ht="30" customHeight="1">
      <c r="A131" s="177" t="s">
        <v>523</v>
      </c>
      <c r="B131" s="178" t="s">
        <v>616</v>
      </c>
      <c r="C131" s="465" t="s">
        <v>617</v>
      </c>
      <c r="D131" s="179" t="s">
        <v>319</v>
      </c>
      <c r="E131" s="180">
        <v>62</v>
      </c>
      <c r="F131" s="67"/>
      <c r="G131" s="61"/>
      <c r="H131" s="61"/>
    </row>
    <row r="132" spans="1:8" ht="30" customHeight="1">
      <c r="A132" s="177" t="s">
        <v>618</v>
      </c>
      <c r="B132" s="178" t="s">
        <v>619</v>
      </c>
      <c r="C132" s="465" t="s">
        <v>102</v>
      </c>
      <c r="D132" s="179" t="s">
        <v>301</v>
      </c>
      <c r="E132" s="180">
        <v>1034.48</v>
      </c>
      <c r="F132" s="67"/>
      <c r="G132" s="61"/>
      <c r="H132" s="61"/>
    </row>
    <row r="133" spans="1:8" ht="15" customHeight="1">
      <c r="A133" s="177" t="s">
        <v>620</v>
      </c>
      <c r="B133" s="178" t="s">
        <v>621</v>
      </c>
      <c r="C133" s="465" t="s">
        <v>622</v>
      </c>
      <c r="D133" s="179" t="s">
        <v>294</v>
      </c>
      <c r="E133" s="180">
        <v>8.9</v>
      </c>
      <c r="F133" s="67"/>
      <c r="G133" s="61"/>
      <c r="H133" s="61"/>
    </row>
    <row r="134" spans="1:8" ht="30" customHeight="1">
      <c r="A134" s="177" t="s">
        <v>523</v>
      </c>
      <c r="B134" s="178" t="s">
        <v>623</v>
      </c>
      <c r="C134" s="465" t="s">
        <v>624</v>
      </c>
      <c r="D134" s="179" t="s">
        <v>298</v>
      </c>
      <c r="E134" s="180">
        <v>7.41</v>
      </c>
      <c r="F134" s="67"/>
      <c r="G134" s="61"/>
      <c r="H134" s="61"/>
    </row>
    <row r="135" spans="1:8" ht="30" customHeight="1">
      <c r="A135" s="183" t="s">
        <v>625</v>
      </c>
      <c r="B135" s="178" t="s">
        <v>626</v>
      </c>
      <c r="C135" s="465" t="s">
        <v>627</v>
      </c>
      <c r="D135" s="179" t="s">
        <v>6</v>
      </c>
      <c r="E135" s="180">
        <v>5.59</v>
      </c>
      <c r="F135" s="67"/>
      <c r="G135" s="61"/>
      <c r="H135" s="61"/>
    </row>
    <row r="136" spans="1:8" ht="30" customHeight="1">
      <c r="A136" s="177" t="s">
        <v>628</v>
      </c>
      <c r="B136" s="178" t="s">
        <v>629</v>
      </c>
      <c r="C136" s="465" t="s">
        <v>630</v>
      </c>
      <c r="D136" s="179" t="s">
        <v>298</v>
      </c>
      <c r="E136" s="180">
        <v>1679.16</v>
      </c>
      <c r="F136" s="67"/>
      <c r="G136" s="61"/>
      <c r="H136" s="61"/>
    </row>
    <row r="137" spans="1:8" ht="30" customHeight="1">
      <c r="A137" s="177" t="s">
        <v>631</v>
      </c>
      <c r="B137" s="178" t="s">
        <v>632</v>
      </c>
      <c r="C137" s="465" t="s">
        <v>633</v>
      </c>
      <c r="D137" s="179" t="s">
        <v>232</v>
      </c>
      <c r="E137" s="180">
        <v>18.059999999999999</v>
      </c>
      <c r="F137" s="67"/>
      <c r="G137" s="61"/>
      <c r="H137" s="61"/>
    </row>
    <row r="138" spans="1:8" ht="30" customHeight="1">
      <c r="A138" s="177" t="s">
        <v>599</v>
      </c>
      <c r="B138" s="178" t="s">
        <v>634</v>
      </c>
      <c r="C138" s="465" t="s">
        <v>635</v>
      </c>
      <c r="D138" s="179" t="s">
        <v>319</v>
      </c>
      <c r="E138" s="180">
        <v>24.86</v>
      </c>
      <c r="F138" s="67"/>
      <c r="G138" s="61"/>
      <c r="H138" s="61"/>
    </row>
    <row r="139" spans="1:8" ht="30" customHeight="1">
      <c r="A139" s="177" t="s">
        <v>636</v>
      </c>
      <c r="B139" s="178" t="s">
        <v>637</v>
      </c>
      <c r="C139" s="465" t="s">
        <v>638</v>
      </c>
      <c r="D139" s="179" t="s">
        <v>639</v>
      </c>
      <c r="E139" s="180">
        <v>13.6</v>
      </c>
      <c r="F139" s="67"/>
      <c r="G139" s="61"/>
      <c r="H139" s="61"/>
    </row>
    <row r="140" spans="1:8" ht="30" customHeight="1">
      <c r="A140" s="177" t="s">
        <v>640</v>
      </c>
      <c r="B140" s="178" t="s">
        <v>641</v>
      </c>
      <c r="C140" s="465" t="s">
        <v>642</v>
      </c>
      <c r="D140" s="179" t="s">
        <v>298</v>
      </c>
      <c r="E140" s="180">
        <v>37.380000000000003</v>
      </c>
      <c r="F140" s="67"/>
      <c r="G140" s="61"/>
      <c r="H140" s="61"/>
    </row>
    <row r="141" spans="1:8" ht="30" customHeight="1">
      <c r="A141" s="177" t="s">
        <v>643</v>
      </c>
      <c r="B141" s="178" t="s">
        <v>644</v>
      </c>
      <c r="C141" s="465" t="s">
        <v>645</v>
      </c>
      <c r="D141" s="179" t="s">
        <v>319</v>
      </c>
      <c r="E141" s="180">
        <v>6.21</v>
      </c>
      <c r="F141" s="67"/>
      <c r="G141" s="61"/>
      <c r="H141" s="61"/>
    </row>
    <row r="142" spans="1:8" ht="30" customHeight="1">
      <c r="A142" s="177" t="s">
        <v>646</v>
      </c>
      <c r="B142" s="178" t="s">
        <v>647</v>
      </c>
      <c r="C142" s="465" t="s">
        <v>648</v>
      </c>
      <c r="D142" s="179" t="s">
        <v>6</v>
      </c>
      <c r="E142" s="180">
        <v>198.71</v>
      </c>
      <c r="F142" s="67"/>
      <c r="G142" s="61"/>
      <c r="H142" s="61"/>
    </row>
    <row r="143" spans="1:8" ht="30" customHeight="1">
      <c r="A143" s="177" t="s">
        <v>523</v>
      </c>
      <c r="B143" s="178" t="s">
        <v>649</v>
      </c>
      <c r="C143" s="465" t="s">
        <v>650</v>
      </c>
      <c r="D143" s="179" t="s">
        <v>294</v>
      </c>
      <c r="E143" s="180">
        <v>48.79</v>
      </c>
      <c r="F143" s="67"/>
      <c r="G143" s="61"/>
      <c r="H143" s="61"/>
    </row>
    <row r="144" spans="1:8" ht="30" customHeight="1">
      <c r="A144" s="177" t="s">
        <v>523</v>
      </c>
      <c r="B144" s="178" t="s">
        <v>651</v>
      </c>
      <c r="C144" s="465" t="s">
        <v>652</v>
      </c>
      <c r="D144" s="179" t="s">
        <v>298</v>
      </c>
      <c r="E144" s="180">
        <v>53.36</v>
      </c>
      <c r="F144" s="67"/>
      <c r="G144" s="61"/>
      <c r="H144" s="61"/>
    </row>
    <row r="145" spans="1:8" ht="30" customHeight="1">
      <c r="A145" s="177" t="s">
        <v>653</v>
      </c>
      <c r="B145" s="178" t="s">
        <v>654</v>
      </c>
      <c r="C145" s="465" t="s">
        <v>655</v>
      </c>
      <c r="D145" s="179" t="s">
        <v>232</v>
      </c>
      <c r="E145" s="180">
        <v>75.430000000000007</v>
      </c>
      <c r="F145" s="67"/>
      <c r="G145" s="61"/>
      <c r="H145" s="61"/>
    </row>
    <row r="146" spans="1:8" ht="15" customHeight="1">
      <c r="A146" s="177" t="s">
        <v>523</v>
      </c>
      <c r="B146" s="178" t="s">
        <v>656</v>
      </c>
      <c r="C146" s="465" t="s">
        <v>657</v>
      </c>
      <c r="D146" s="179" t="s">
        <v>232</v>
      </c>
      <c r="E146" s="180">
        <v>170</v>
      </c>
      <c r="F146" s="67" t="s">
        <v>58</v>
      </c>
      <c r="G146" s="61"/>
      <c r="H146" s="61"/>
    </row>
    <row r="147" spans="1:8" ht="30" customHeight="1">
      <c r="A147" s="177" t="s">
        <v>653</v>
      </c>
      <c r="B147" s="178" t="s">
        <v>658</v>
      </c>
      <c r="C147" s="465" t="s">
        <v>659</v>
      </c>
      <c r="D147" s="179" t="s">
        <v>232</v>
      </c>
      <c r="E147" s="180">
        <v>81.5</v>
      </c>
      <c r="F147" s="475">
        <f>E147*20</f>
        <v>1630</v>
      </c>
      <c r="G147" s="61"/>
      <c r="H147" s="61"/>
    </row>
    <row r="148" spans="1:8" ht="15" customHeight="1">
      <c r="A148" s="177" t="s">
        <v>523</v>
      </c>
      <c r="B148" s="178" t="s">
        <v>660</v>
      </c>
      <c r="C148" s="465" t="s">
        <v>661</v>
      </c>
      <c r="D148" s="179" t="s">
        <v>6</v>
      </c>
      <c r="E148" s="180">
        <v>6.3</v>
      </c>
      <c r="F148" s="67"/>
      <c r="G148" s="61"/>
      <c r="H148" s="61"/>
    </row>
    <row r="149" spans="1:8" ht="30" customHeight="1">
      <c r="A149" s="177" t="s">
        <v>523</v>
      </c>
      <c r="B149" s="178" t="s">
        <v>662</v>
      </c>
      <c r="C149" s="465" t="s">
        <v>663</v>
      </c>
      <c r="D149" s="179" t="s">
        <v>298</v>
      </c>
      <c r="E149" s="180">
        <v>297</v>
      </c>
      <c r="F149" s="67"/>
      <c r="G149" s="61"/>
      <c r="H149" s="61"/>
    </row>
    <row r="150" spans="1:8" ht="30" customHeight="1">
      <c r="A150" s="177" t="s">
        <v>620</v>
      </c>
      <c r="B150" s="178" t="s">
        <v>664</v>
      </c>
      <c r="C150" s="465" t="s">
        <v>665</v>
      </c>
      <c r="D150" s="179" t="s">
        <v>294</v>
      </c>
      <c r="E150" s="180">
        <v>8.9</v>
      </c>
      <c r="F150" s="67"/>
      <c r="G150" s="61"/>
      <c r="H150" s="61"/>
    </row>
    <row r="151" spans="1:8" ht="30" customHeight="1">
      <c r="A151" s="177" t="s">
        <v>523</v>
      </c>
      <c r="B151" s="178" t="s">
        <v>666</v>
      </c>
      <c r="C151" s="465" t="s">
        <v>667</v>
      </c>
      <c r="D151" s="179" t="s">
        <v>294</v>
      </c>
      <c r="E151" s="180">
        <v>42.67</v>
      </c>
      <c r="F151" s="67"/>
      <c r="G151" s="61"/>
      <c r="H151" s="61"/>
    </row>
    <row r="152" spans="1:8" ht="30" customHeight="1">
      <c r="A152" s="177" t="s">
        <v>668</v>
      </c>
      <c r="B152" s="178" t="s">
        <v>669</v>
      </c>
      <c r="C152" s="465" t="s">
        <v>670</v>
      </c>
      <c r="D152" s="179" t="s">
        <v>298</v>
      </c>
      <c r="E152" s="180">
        <v>5.37</v>
      </c>
      <c r="F152" s="67"/>
      <c r="G152" s="61"/>
      <c r="H152" s="61"/>
    </row>
    <row r="153" spans="1:8" ht="30" customHeight="1">
      <c r="A153" s="177" t="s">
        <v>671</v>
      </c>
      <c r="B153" s="178" t="s">
        <v>672</v>
      </c>
      <c r="C153" s="465" t="s">
        <v>673</v>
      </c>
      <c r="D153" s="179" t="s">
        <v>298</v>
      </c>
      <c r="E153" s="180">
        <v>5.37</v>
      </c>
      <c r="F153" s="67"/>
      <c r="G153" s="61"/>
      <c r="H153" s="61"/>
    </row>
    <row r="154" spans="1:8" ht="30" customHeight="1">
      <c r="A154" s="177" t="s">
        <v>523</v>
      </c>
      <c r="B154" s="178" t="s">
        <v>674</v>
      </c>
      <c r="C154" s="630" t="s">
        <v>1069</v>
      </c>
      <c r="D154" s="179" t="s">
        <v>294</v>
      </c>
      <c r="E154" s="180">
        <v>33.020000000000003</v>
      </c>
      <c r="F154" s="67"/>
      <c r="G154" s="61"/>
      <c r="H154" s="61"/>
    </row>
    <row r="155" spans="1:8" ht="30" customHeight="1">
      <c r="A155" s="177" t="s">
        <v>675</v>
      </c>
      <c r="B155" s="178" t="s">
        <v>676</v>
      </c>
      <c r="C155" s="465" t="s">
        <v>677</v>
      </c>
      <c r="D155" s="179" t="s">
        <v>232</v>
      </c>
      <c r="E155" s="180">
        <v>129.31</v>
      </c>
      <c r="F155" s="67"/>
      <c r="G155" s="61"/>
      <c r="H155" s="61"/>
    </row>
    <row r="156" spans="1:8" ht="15" customHeight="1">
      <c r="A156" s="177" t="s">
        <v>523</v>
      </c>
      <c r="B156" s="178" t="s">
        <v>678</v>
      </c>
      <c r="C156" s="465" t="s">
        <v>679</v>
      </c>
      <c r="D156" s="179" t="s">
        <v>298</v>
      </c>
      <c r="E156" s="180">
        <v>21.64</v>
      </c>
      <c r="F156" s="67"/>
      <c r="G156" s="61"/>
      <c r="H156" s="61"/>
    </row>
    <row r="157" spans="1:8" ht="30" customHeight="1">
      <c r="A157" s="177" t="s">
        <v>523</v>
      </c>
      <c r="B157" s="178" t="s">
        <v>680</v>
      </c>
      <c r="C157" s="465" t="s">
        <v>681</v>
      </c>
      <c r="D157" s="179" t="s">
        <v>298</v>
      </c>
      <c r="E157" s="180">
        <v>10.78</v>
      </c>
      <c r="F157" s="67"/>
      <c r="G157" s="61"/>
      <c r="H157" s="61"/>
    </row>
    <row r="158" spans="1:8" ht="30" customHeight="1">
      <c r="A158" s="177" t="s">
        <v>523</v>
      </c>
      <c r="B158" s="178" t="s">
        <v>682</v>
      </c>
      <c r="C158" s="465" t="s">
        <v>683</v>
      </c>
      <c r="D158" s="179" t="s">
        <v>298</v>
      </c>
      <c r="E158" s="180">
        <v>810.34</v>
      </c>
      <c r="F158" s="67"/>
      <c r="G158" s="61"/>
      <c r="H158" s="61"/>
    </row>
    <row r="159" spans="1:8" ht="30" customHeight="1">
      <c r="A159" s="177" t="s">
        <v>684</v>
      </c>
      <c r="B159" s="178" t="s">
        <v>685</v>
      </c>
      <c r="C159" s="465" t="s">
        <v>686</v>
      </c>
      <c r="D159" s="179" t="s">
        <v>298</v>
      </c>
      <c r="E159" s="180">
        <v>88.2</v>
      </c>
      <c r="F159" s="67"/>
      <c r="G159" s="61"/>
      <c r="H159" s="61"/>
    </row>
    <row r="160" spans="1:8" ht="30" customHeight="1">
      <c r="A160" s="177" t="s">
        <v>523</v>
      </c>
      <c r="B160" s="178" t="s">
        <v>687</v>
      </c>
      <c r="C160" s="465" t="s">
        <v>688</v>
      </c>
      <c r="D160" s="179" t="s">
        <v>232</v>
      </c>
      <c r="E160" s="180">
        <v>20.6</v>
      </c>
      <c r="F160" s="67"/>
      <c r="G160" s="61"/>
      <c r="H160" s="61"/>
    </row>
    <row r="161" spans="1:8" ht="30" customHeight="1">
      <c r="A161" s="177" t="s">
        <v>523</v>
      </c>
      <c r="B161" s="178" t="s">
        <v>689</v>
      </c>
      <c r="C161" s="465" t="s">
        <v>690</v>
      </c>
      <c r="D161" s="179" t="s">
        <v>232</v>
      </c>
      <c r="E161" s="180">
        <v>125</v>
      </c>
      <c r="F161" s="67"/>
      <c r="G161" s="61"/>
      <c r="H161" s="61"/>
    </row>
    <row r="162" spans="1:8" ht="30" customHeight="1">
      <c r="A162" s="177" t="s">
        <v>523</v>
      </c>
      <c r="B162" s="178" t="s">
        <v>691</v>
      </c>
      <c r="C162" s="465" t="s">
        <v>692</v>
      </c>
      <c r="D162" s="179" t="s">
        <v>232</v>
      </c>
      <c r="E162" s="180">
        <v>115</v>
      </c>
      <c r="F162" s="67"/>
      <c r="G162" s="61"/>
      <c r="H162" s="61"/>
    </row>
    <row r="163" spans="1:8" ht="30" customHeight="1">
      <c r="A163" s="177" t="s">
        <v>523</v>
      </c>
      <c r="B163" s="178" t="s">
        <v>693</v>
      </c>
      <c r="C163" s="465" t="s">
        <v>694</v>
      </c>
      <c r="D163" s="179" t="s">
        <v>298</v>
      </c>
      <c r="E163" s="180">
        <v>68.5</v>
      </c>
      <c r="F163" s="67"/>
      <c r="G163" s="61"/>
      <c r="H163" s="61"/>
    </row>
    <row r="164" spans="1:8" ht="30" customHeight="1">
      <c r="A164" s="177" t="s">
        <v>695</v>
      </c>
      <c r="B164" s="178" t="s">
        <v>696</v>
      </c>
      <c r="C164" s="465" t="s">
        <v>697</v>
      </c>
      <c r="D164" s="179" t="s">
        <v>298</v>
      </c>
      <c r="E164" s="180">
        <v>105</v>
      </c>
      <c r="F164" s="67"/>
      <c r="G164" s="61"/>
      <c r="H164" s="61"/>
    </row>
    <row r="165" spans="1:8" ht="30" customHeight="1">
      <c r="A165" s="177" t="s">
        <v>698</v>
      </c>
      <c r="B165" s="178" t="s">
        <v>699</v>
      </c>
      <c r="C165" s="465" t="s">
        <v>700</v>
      </c>
      <c r="D165" s="179" t="s">
        <v>298</v>
      </c>
      <c r="E165" s="180">
        <v>297.41000000000003</v>
      </c>
      <c r="F165" s="67"/>
      <c r="G165" s="61"/>
      <c r="H165" s="61"/>
    </row>
    <row r="166" spans="1:8" ht="30" customHeight="1">
      <c r="A166" s="177" t="s">
        <v>701</v>
      </c>
      <c r="B166" s="178" t="s">
        <v>702</v>
      </c>
      <c r="C166" s="465" t="s">
        <v>703</v>
      </c>
      <c r="D166" s="179" t="s">
        <v>298</v>
      </c>
      <c r="E166" s="180">
        <v>2.5</v>
      </c>
      <c r="F166" s="67"/>
      <c r="G166" s="61"/>
      <c r="H166" s="61"/>
    </row>
    <row r="167" spans="1:8" ht="45" customHeight="1">
      <c r="A167" s="177" t="s">
        <v>701</v>
      </c>
      <c r="B167" s="178" t="s">
        <v>704</v>
      </c>
      <c r="C167" s="465" t="s">
        <v>705</v>
      </c>
      <c r="D167" s="179" t="s">
        <v>298</v>
      </c>
      <c r="E167" s="180">
        <v>2768.28</v>
      </c>
      <c r="F167" s="67"/>
      <c r="G167" s="61"/>
      <c r="H167" s="61"/>
    </row>
    <row r="168" spans="1:8" ht="45" customHeight="1">
      <c r="A168" s="177" t="s">
        <v>701</v>
      </c>
      <c r="B168" s="178" t="s">
        <v>706</v>
      </c>
      <c r="C168" s="465" t="s">
        <v>707</v>
      </c>
      <c r="D168" s="179" t="s">
        <v>298</v>
      </c>
      <c r="E168" s="180">
        <v>881.16</v>
      </c>
      <c r="F168" s="67"/>
      <c r="G168" s="61"/>
      <c r="H168" s="61"/>
    </row>
    <row r="169" spans="1:8" ht="45" customHeight="1">
      <c r="A169" s="177" t="s">
        <v>523</v>
      </c>
      <c r="B169" s="178" t="s">
        <v>708</v>
      </c>
      <c r="C169" s="465" t="s">
        <v>709</v>
      </c>
      <c r="D169" s="179" t="s">
        <v>298</v>
      </c>
      <c r="E169" s="180">
        <v>6.12</v>
      </c>
      <c r="F169" s="67"/>
      <c r="G169" s="61"/>
      <c r="H169" s="61"/>
    </row>
    <row r="170" spans="1:8" ht="30" customHeight="1">
      <c r="A170" s="177" t="s">
        <v>701</v>
      </c>
      <c r="B170" s="178" t="s">
        <v>710</v>
      </c>
      <c r="C170" s="465" t="s">
        <v>711</v>
      </c>
      <c r="D170" s="179" t="s">
        <v>298</v>
      </c>
      <c r="E170" s="180">
        <v>864.36</v>
      </c>
      <c r="F170" s="67"/>
      <c r="G170" s="61"/>
      <c r="H170" s="61"/>
    </row>
    <row r="171" spans="1:8" ht="45" customHeight="1">
      <c r="A171" s="177" t="s">
        <v>701</v>
      </c>
      <c r="B171" s="178" t="s">
        <v>712</v>
      </c>
      <c r="C171" s="465" t="s">
        <v>713</v>
      </c>
      <c r="D171" s="179" t="s">
        <v>298</v>
      </c>
      <c r="E171" s="180">
        <v>3065.16</v>
      </c>
      <c r="F171" s="67"/>
      <c r="G171" s="61"/>
      <c r="H171" s="61"/>
    </row>
    <row r="172" spans="1:8" ht="45" customHeight="1">
      <c r="A172" s="177" t="s">
        <v>714</v>
      </c>
      <c r="B172" s="178" t="s">
        <v>715</v>
      </c>
      <c r="C172" s="465" t="s">
        <v>716</v>
      </c>
      <c r="D172" s="179" t="s">
        <v>6</v>
      </c>
      <c r="E172" s="180">
        <v>24.22</v>
      </c>
      <c r="F172" s="67"/>
      <c r="G172" s="61"/>
      <c r="H172" s="61"/>
    </row>
    <row r="173" spans="1:8" ht="30" customHeight="1">
      <c r="A173" s="177" t="s">
        <v>675</v>
      </c>
      <c r="B173" s="178" t="s">
        <v>717</v>
      </c>
      <c r="C173" s="465" t="s">
        <v>718</v>
      </c>
      <c r="D173" s="179" t="s">
        <v>232</v>
      </c>
      <c r="E173" s="180">
        <v>56.03</v>
      </c>
      <c r="F173" s="67"/>
      <c r="G173" s="61"/>
      <c r="H173" s="61"/>
    </row>
    <row r="174" spans="1:8" ht="15" customHeight="1">
      <c r="A174" s="177" t="s">
        <v>719</v>
      </c>
      <c r="B174" s="178" t="s">
        <v>720</v>
      </c>
      <c r="C174" s="465" t="s">
        <v>721</v>
      </c>
      <c r="D174" s="179" t="s">
        <v>298</v>
      </c>
      <c r="E174" s="180">
        <v>1</v>
      </c>
      <c r="F174" s="67"/>
      <c r="G174" s="61"/>
      <c r="H174" s="61"/>
    </row>
    <row r="175" spans="1:8" ht="30" customHeight="1">
      <c r="A175" s="177" t="s">
        <v>523</v>
      </c>
      <c r="B175" s="178" t="s">
        <v>722</v>
      </c>
      <c r="C175" s="465" t="s">
        <v>723</v>
      </c>
      <c r="D175" s="179" t="s">
        <v>298</v>
      </c>
      <c r="E175" s="180">
        <v>30.17</v>
      </c>
      <c r="F175" s="67"/>
      <c r="G175" s="61"/>
      <c r="H175" s="61"/>
    </row>
    <row r="176" spans="1:8" ht="30" customHeight="1">
      <c r="A176" s="177" t="s">
        <v>724</v>
      </c>
      <c r="B176" s="178" t="s">
        <v>725</v>
      </c>
      <c r="C176" s="630" t="s">
        <v>1057</v>
      </c>
      <c r="D176" s="179" t="s">
        <v>294</v>
      </c>
      <c r="E176" s="180">
        <v>54.69</v>
      </c>
      <c r="F176" s="67"/>
      <c r="G176" s="61"/>
      <c r="H176" s="61"/>
    </row>
    <row r="177" spans="1:8" ht="30" customHeight="1">
      <c r="A177" s="177" t="s">
        <v>701</v>
      </c>
      <c r="B177" s="178" t="s">
        <v>726</v>
      </c>
      <c r="C177" s="465" t="s">
        <v>727</v>
      </c>
      <c r="D177" s="179" t="s">
        <v>298</v>
      </c>
      <c r="E177" s="180">
        <v>83.16</v>
      </c>
      <c r="F177" s="67"/>
      <c r="G177" s="61"/>
      <c r="H177" s="61"/>
    </row>
    <row r="178" spans="1:8" ht="45" customHeight="1">
      <c r="A178" s="177" t="s">
        <v>728</v>
      </c>
      <c r="B178" s="178" t="s">
        <v>729</v>
      </c>
      <c r="C178" s="465" t="s">
        <v>730</v>
      </c>
      <c r="D178" s="179" t="s">
        <v>298</v>
      </c>
      <c r="E178" s="180">
        <v>7.76</v>
      </c>
      <c r="F178" s="67"/>
      <c r="G178" s="61"/>
      <c r="H178" s="61"/>
    </row>
    <row r="179" spans="1:8" ht="15" customHeight="1">
      <c r="A179" s="177" t="s">
        <v>728</v>
      </c>
      <c r="B179" s="178" t="s">
        <v>731</v>
      </c>
      <c r="C179" s="465" t="s">
        <v>732</v>
      </c>
      <c r="D179" s="179" t="s">
        <v>319</v>
      </c>
      <c r="E179" s="180">
        <v>7.76</v>
      </c>
      <c r="F179" s="67"/>
      <c r="G179" s="61"/>
      <c r="H179" s="61"/>
    </row>
    <row r="180" spans="1:8" ht="15" customHeight="1">
      <c r="A180" s="177" t="s">
        <v>728</v>
      </c>
      <c r="B180" s="178" t="s">
        <v>733</v>
      </c>
      <c r="C180" s="465" t="s">
        <v>734</v>
      </c>
      <c r="D180" s="179" t="s">
        <v>319</v>
      </c>
      <c r="E180" s="180">
        <v>7.76</v>
      </c>
      <c r="F180" s="67"/>
      <c r="G180" s="61"/>
      <c r="H180" s="61"/>
    </row>
    <row r="181" spans="1:8" ht="15" customHeight="1">
      <c r="A181" s="177" t="s">
        <v>728</v>
      </c>
      <c r="B181" s="178" t="s">
        <v>201</v>
      </c>
      <c r="C181" s="465" t="s">
        <v>735</v>
      </c>
      <c r="D181" s="179" t="s">
        <v>319</v>
      </c>
      <c r="E181" s="180">
        <v>16.09</v>
      </c>
      <c r="F181" s="67"/>
      <c r="G181" s="61"/>
      <c r="H181" s="61"/>
    </row>
    <row r="182" spans="1:8" ht="15" customHeight="1">
      <c r="A182" s="639" t="s">
        <v>728</v>
      </c>
      <c r="B182" s="640" t="s">
        <v>736</v>
      </c>
      <c r="C182" s="641" t="s">
        <v>737</v>
      </c>
      <c r="D182" s="642" t="s">
        <v>319</v>
      </c>
      <c r="E182" s="643">
        <v>15.05</v>
      </c>
      <c r="F182" s="67"/>
      <c r="G182" s="61"/>
      <c r="H182" s="61"/>
    </row>
    <row r="183" spans="1:8" ht="15" customHeight="1">
      <c r="A183" s="644"/>
      <c r="B183" s="645" t="s">
        <v>738</v>
      </c>
      <c r="C183" s="646" t="s">
        <v>739</v>
      </c>
      <c r="D183" s="246" t="s">
        <v>232</v>
      </c>
      <c r="E183" s="647">
        <v>487.2</v>
      </c>
      <c r="F183" s="170"/>
      <c r="G183" s="61"/>
      <c r="H183" s="61"/>
    </row>
    <row r="184" spans="1:8" ht="15" customHeight="1">
      <c r="A184" s="644"/>
      <c r="B184" s="645" t="s">
        <v>12</v>
      </c>
      <c r="C184" s="646" t="s">
        <v>13</v>
      </c>
      <c r="D184" s="246" t="s">
        <v>375</v>
      </c>
      <c r="E184" s="647">
        <v>1293.0999999999999</v>
      </c>
      <c r="F184" s="170"/>
      <c r="G184" s="61"/>
      <c r="H184" s="61"/>
    </row>
    <row r="185" spans="1:8" ht="15" customHeight="1">
      <c r="A185" s="644"/>
      <c r="B185" s="645" t="s">
        <v>59</v>
      </c>
      <c r="C185" s="646" t="s">
        <v>740</v>
      </c>
      <c r="D185" s="246" t="s">
        <v>6</v>
      </c>
      <c r="E185" s="647">
        <v>249</v>
      </c>
      <c r="F185" s="170"/>
      <c r="G185" s="61"/>
      <c r="H185" s="61"/>
    </row>
    <row r="186" spans="1:8" ht="15" customHeight="1">
      <c r="A186" s="644"/>
      <c r="B186" s="645" t="s">
        <v>62</v>
      </c>
      <c r="C186" s="646" t="s">
        <v>741</v>
      </c>
      <c r="D186" s="246" t="s">
        <v>742</v>
      </c>
      <c r="E186" s="647">
        <v>73</v>
      </c>
      <c r="F186" s="170"/>
      <c r="G186" s="61"/>
      <c r="H186" s="61"/>
    </row>
    <row r="187" spans="1:8" ht="15" customHeight="1">
      <c r="A187" s="439"/>
      <c r="B187" s="645" t="s">
        <v>989</v>
      </c>
      <c r="C187" s="648" t="s">
        <v>868</v>
      </c>
      <c r="D187" s="246" t="s">
        <v>6</v>
      </c>
      <c r="E187" s="647">
        <v>214.66</v>
      </c>
      <c r="F187" s="170"/>
      <c r="G187" s="61"/>
      <c r="H187" s="61"/>
    </row>
    <row r="188" spans="1:8" ht="15" customHeight="1">
      <c r="A188" s="439"/>
      <c r="B188" s="645" t="s">
        <v>990</v>
      </c>
      <c r="C188" s="648" t="s">
        <v>869</v>
      </c>
      <c r="D188" s="246" t="s">
        <v>6</v>
      </c>
      <c r="E188" s="647">
        <v>206.03</v>
      </c>
      <c r="F188" s="136"/>
    </row>
    <row r="189" spans="1:8" ht="15" customHeight="1">
      <c r="A189" s="439"/>
      <c r="B189" s="645" t="s">
        <v>991</v>
      </c>
      <c r="C189" s="648" t="s">
        <v>870</v>
      </c>
      <c r="D189" s="246" t="s">
        <v>6</v>
      </c>
      <c r="E189" s="647">
        <v>206.03</v>
      </c>
      <c r="F189" s="136"/>
    </row>
    <row r="190" spans="1:8" ht="15" customHeight="1">
      <c r="A190" s="439"/>
      <c r="B190" s="645" t="s">
        <v>992</v>
      </c>
      <c r="C190" s="648" t="s">
        <v>873</v>
      </c>
      <c r="D190" s="441" t="s">
        <v>582</v>
      </c>
      <c r="E190" s="647">
        <v>775.86</v>
      </c>
      <c r="F190" s="136"/>
    </row>
    <row r="191" spans="1:8" ht="15" customHeight="1">
      <c r="A191" s="439"/>
      <c r="B191" s="645" t="s">
        <v>993</v>
      </c>
      <c r="C191" s="648" t="s">
        <v>875</v>
      </c>
      <c r="D191" s="441" t="s">
        <v>582</v>
      </c>
      <c r="E191" s="647">
        <v>775.86</v>
      </c>
      <c r="F191" s="136"/>
    </row>
    <row r="192" spans="1:8" ht="15" customHeight="1">
      <c r="A192" s="439"/>
      <c r="B192" s="645" t="s">
        <v>994</v>
      </c>
      <c r="C192" s="648" t="s">
        <v>877</v>
      </c>
      <c r="D192" s="441" t="s">
        <v>742</v>
      </c>
      <c r="E192" s="647">
        <v>1456.9</v>
      </c>
      <c r="F192" s="136"/>
    </row>
    <row r="193" spans="1:9" ht="15" customHeight="1">
      <c r="A193" s="439"/>
      <c r="B193" s="645" t="s">
        <v>995</v>
      </c>
      <c r="C193" s="648" t="s">
        <v>878</v>
      </c>
      <c r="D193" s="441" t="s">
        <v>742</v>
      </c>
      <c r="E193" s="647">
        <v>2336.21</v>
      </c>
      <c r="F193" s="136"/>
    </row>
    <row r="194" spans="1:9" ht="15" customHeight="1">
      <c r="A194" s="439"/>
      <c r="B194" s="645" t="s">
        <v>984</v>
      </c>
      <c r="C194" s="648" t="s">
        <v>998</v>
      </c>
      <c r="D194" s="441" t="s">
        <v>742</v>
      </c>
      <c r="E194" s="647">
        <v>176.72</v>
      </c>
      <c r="F194" s="136"/>
      <c r="I194" s="543"/>
    </row>
    <row r="195" spans="1:9" ht="15" customHeight="1">
      <c r="A195" s="439"/>
      <c r="B195" s="645" t="s">
        <v>986</v>
      </c>
      <c r="C195" s="648" t="s">
        <v>999</v>
      </c>
      <c r="D195" s="441" t="s">
        <v>742</v>
      </c>
      <c r="E195" s="649">
        <v>84.62</v>
      </c>
      <c r="F195" s="136"/>
      <c r="G195" s="542"/>
    </row>
    <row r="196" spans="1:9" ht="15" customHeight="1">
      <c r="A196" s="439"/>
      <c r="B196" s="645" t="s">
        <v>987</v>
      </c>
      <c r="C196" s="648" t="s">
        <v>1000</v>
      </c>
      <c r="D196" s="441" t="s">
        <v>742</v>
      </c>
      <c r="E196" s="649">
        <v>84.62</v>
      </c>
      <c r="F196" s="136"/>
    </row>
    <row r="197" spans="1:9" ht="15" customHeight="1">
      <c r="A197" s="439"/>
      <c r="B197" s="645" t="s">
        <v>1027</v>
      </c>
      <c r="C197" s="648" t="s">
        <v>1026</v>
      </c>
      <c r="D197" s="441" t="s">
        <v>6</v>
      </c>
      <c r="E197" s="647">
        <v>15</v>
      </c>
      <c r="F197" s="136"/>
    </row>
    <row r="198" spans="1:9" ht="15" customHeight="1">
      <c r="A198" s="439"/>
      <c r="B198" s="645" t="s">
        <v>1029</v>
      </c>
      <c r="C198" s="648" t="s">
        <v>1030</v>
      </c>
      <c r="D198" s="441" t="s">
        <v>742</v>
      </c>
      <c r="E198" s="647">
        <v>89</v>
      </c>
      <c r="F198" s="136"/>
      <c r="G198" s="543"/>
    </row>
    <row r="199" spans="1:9" ht="15" customHeight="1">
      <c r="A199" s="439"/>
      <c r="B199" s="645" t="s">
        <v>1050</v>
      </c>
      <c r="C199" s="648" t="s">
        <v>1052</v>
      </c>
      <c r="D199" s="441" t="s">
        <v>294</v>
      </c>
      <c r="E199" s="647">
        <v>381</v>
      </c>
      <c r="F199" s="136"/>
    </row>
    <row r="200" spans="1:9" ht="15" customHeight="1">
      <c r="A200" s="439"/>
      <c r="B200" s="645" t="s">
        <v>1051</v>
      </c>
      <c r="C200" s="648" t="s">
        <v>1053</v>
      </c>
      <c r="D200" s="441" t="s">
        <v>742</v>
      </c>
      <c r="E200" s="647">
        <v>18.36</v>
      </c>
      <c r="F200" s="136"/>
    </row>
    <row r="201" spans="1:9" ht="15" customHeight="1">
      <c r="A201" s="439"/>
      <c r="B201" s="645" t="s">
        <v>317</v>
      </c>
      <c r="C201" s="648" t="s">
        <v>1066</v>
      </c>
      <c r="D201" s="441" t="s">
        <v>742</v>
      </c>
      <c r="E201" s="647">
        <v>240.52</v>
      </c>
      <c r="F201" s="136"/>
    </row>
    <row r="202" spans="1:9" ht="15" customHeight="1">
      <c r="A202" s="439"/>
      <c r="B202" s="435" t="s">
        <v>1072</v>
      </c>
      <c r="C202" s="648" t="s">
        <v>1065</v>
      </c>
      <c r="D202" s="441" t="s">
        <v>742</v>
      </c>
      <c r="E202" s="647">
        <v>111.21</v>
      </c>
      <c r="F202" s="136"/>
    </row>
    <row r="203" spans="1:9" ht="15" customHeight="1">
      <c r="A203" s="439"/>
      <c r="B203" s="435" t="s">
        <v>1077</v>
      </c>
      <c r="C203" s="648" t="s">
        <v>1070</v>
      </c>
      <c r="D203" s="441" t="s">
        <v>742</v>
      </c>
      <c r="E203" s="647">
        <v>11.21</v>
      </c>
      <c r="F203" s="136"/>
    </row>
    <row r="204" spans="1:9" ht="15" customHeight="1">
      <c r="A204" s="439"/>
      <c r="B204" s="435" t="s">
        <v>1073</v>
      </c>
      <c r="C204" s="648" t="s">
        <v>1076</v>
      </c>
      <c r="D204" s="441" t="s">
        <v>742</v>
      </c>
      <c r="E204" s="647">
        <v>17.239999999999998</v>
      </c>
      <c r="F204" s="136"/>
    </row>
    <row r="205" spans="1:9" ht="15" customHeight="1">
      <c r="A205" s="439"/>
      <c r="B205" s="435" t="s">
        <v>1088</v>
      </c>
      <c r="C205" s="648" t="s">
        <v>1087</v>
      </c>
      <c r="D205" s="441" t="s">
        <v>742</v>
      </c>
      <c r="E205" s="647">
        <v>17.239999999999998</v>
      </c>
      <c r="F205" s="136"/>
    </row>
    <row r="206" spans="1:9" ht="15" customHeight="1">
      <c r="A206" s="439"/>
      <c r="B206" s="435" t="s">
        <v>1092</v>
      </c>
      <c r="C206" s="648" t="s">
        <v>1091</v>
      </c>
      <c r="D206" s="441" t="s">
        <v>742</v>
      </c>
      <c r="E206" s="647">
        <v>58</v>
      </c>
      <c r="F206" s="136"/>
    </row>
    <row r="207" spans="1:9" ht="15" customHeight="1">
      <c r="A207" s="439"/>
      <c r="B207" s="435" t="s">
        <v>1138</v>
      </c>
      <c r="C207" s="648" t="s">
        <v>1139</v>
      </c>
      <c r="D207" s="441" t="s">
        <v>6</v>
      </c>
      <c r="E207" s="647">
        <v>134.57</v>
      </c>
      <c r="F207" s="136"/>
      <c r="G207" s="542"/>
    </row>
    <row r="208" spans="1:9" ht="15" customHeight="1">
      <c r="A208" s="439"/>
      <c r="B208" s="435" t="s">
        <v>1147</v>
      </c>
      <c r="C208" s="648" t="s">
        <v>1151</v>
      </c>
      <c r="D208" s="441" t="s">
        <v>742</v>
      </c>
      <c r="E208" s="647">
        <v>10.6</v>
      </c>
      <c r="F208" s="136"/>
    </row>
    <row r="209" spans="1:6" ht="15" customHeight="1">
      <c r="A209" s="439"/>
      <c r="B209" s="435" t="s">
        <v>1161</v>
      </c>
      <c r="C209" s="648" t="s">
        <v>1162</v>
      </c>
      <c r="D209" s="441" t="s">
        <v>742</v>
      </c>
      <c r="E209" s="647">
        <v>15.3</v>
      </c>
      <c r="F209" s="136"/>
    </row>
    <row r="210" spans="1:6" ht="15" customHeight="1">
      <c r="A210" s="439"/>
      <c r="B210" s="435" t="s">
        <v>1289</v>
      </c>
      <c r="C210" s="648" t="s">
        <v>1290</v>
      </c>
      <c r="D210" s="441" t="s">
        <v>742</v>
      </c>
      <c r="E210" s="647">
        <v>688.79</v>
      </c>
      <c r="F210" s="136"/>
    </row>
    <row r="211" spans="1:6" ht="15" customHeight="1">
      <c r="A211" s="439"/>
      <c r="B211" s="435" t="s">
        <v>1303</v>
      </c>
      <c r="C211" s="648" t="s">
        <v>1291</v>
      </c>
      <c r="D211" s="441" t="s">
        <v>404</v>
      </c>
      <c r="E211" s="647">
        <v>25.6</v>
      </c>
      <c r="F211" s="136"/>
    </row>
    <row r="212" spans="1:6" ht="15" customHeight="1">
      <c r="A212" s="439"/>
      <c r="B212" s="435" t="s">
        <v>1297</v>
      </c>
      <c r="C212" s="648" t="s">
        <v>1300</v>
      </c>
      <c r="D212" s="441" t="s">
        <v>742</v>
      </c>
      <c r="E212" s="647">
        <v>887.07</v>
      </c>
      <c r="F212" s="136"/>
    </row>
    <row r="213" spans="1:6" ht="15" customHeight="1">
      <c r="A213" s="439"/>
      <c r="B213" s="435" t="s">
        <v>111</v>
      </c>
      <c r="C213" s="648" t="s">
        <v>1304</v>
      </c>
      <c r="D213" s="441" t="s">
        <v>742</v>
      </c>
      <c r="E213" s="647">
        <v>3103.45</v>
      </c>
      <c r="F213" s="136"/>
    </row>
    <row r="214" spans="1:6" ht="15" customHeight="1">
      <c r="A214" s="439"/>
      <c r="B214" s="435" t="s">
        <v>1305</v>
      </c>
      <c r="C214" s="648" t="s">
        <v>1306</v>
      </c>
      <c r="D214" s="441" t="s">
        <v>742</v>
      </c>
      <c r="E214" s="647">
        <v>169.17</v>
      </c>
      <c r="F214" s="136"/>
    </row>
    <row r="215" spans="1:6" ht="15" customHeight="1">
      <c r="A215" s="439"/>
      <c r="B215" s="435" t="s">
        <v>1322</v>
      </c>
      <c r="C215" s="648" t="s">
        <v>1324</v>
      </c>
      <c r="D215" s="441" t="s">
        <v>6</v>
      </c>
      <c r="E215" s="647">
        <v>169</v>
      </c>
      <c r="F215" s="136"/>
    </row>
    <row r="216" spans="1:6" ht="15" customHeight="1">
      <c r="A216" s="439"/>
      <c r="B216" s="435" t="s">
        <v>1323</v>
      </c>
      <c r="C216" s="648" t="s">
        <v>1325</v>
      </c>
      <c r="D216" s="441" t="s">
        <v>294</v>
      </c>
      <c r="E216" s="647">
        <v>39</v>
      </c>
      <c r="F216" s="136"/>
    </row>
    <row r="217" spans="1:6" ht="15" customHeight="1">
      <c r="A217" s="439"/>
      <c r="B217" s="435" t="s">
        <v>1329</v>
      </c>
      <c r="C217" s="650" t="s">
        <v>1328</v>
      </c>
      <c r="D217" s="246" t="s">
        <v>319</v>
      </c>
      <c r="E217" s="649">
        <v>6.21</v>
      </c>
      <c r="F217" s="136"/>
    </row>
    <row r="218" spans="1:6" ht="15" customHeight="1">
      <c r="A218" s="439"/>
      <c r="B218" s="435" t="s">
        <v>1210</v>
      </c>
      <c r="C218" s="648" t="s">
        <v>1333</v>
      </c>
      <c r="D218" s="246" t="s">
        <v>742</v>
      </c>
      <c r="E218" s="647">
        <v>1348</v>
      </c>
      <c r="F218" s="136"/>
    </row>
    <row r="219" spans="1:6" ht="15" customHeight="1">
      <c r="A219" s="439"/>
      <c r="B219" s="435" t="s">
        <v>1212</v>
      </c>
      <c r="C219" s="648" t="s">
        <v>1332</v>
      </c>
      <c r="D219" s="441" t="s">
        <v>6</v>
      </c>
      <c r="E219" s="647">
        <v>43</v>
      </c>
      <c r="F219" s="136"/>
    </row>
    <row r="220" spans="1:6" ht="15" customHeight="1">
      <c r="A220" s="439"/>
      <c r="B220" s="435" t="s">
        <v>1350</v>
      </c>
      <c r="C220" s="648" t="s">
        <v>1349</v>
      </c>
      <c r="D220" s="441" t="s">
        <v>308</v>
      </c>
      <c r="E220" s="647">
        <v>68.7</v>
      </c>
      <c r="F220" s="136"/>
    </row>
    <row r="221" spans="1:6" ht="15" customHeight="1">
      <c r="A221" s="439"/>
      <c r="B221" s="435" t="s">
        <v>1356</v>
      </c>
      <c r="C221" s="648" t="s">
        <v>1355</v>
      </c>
      <c r="D221" s="441" t="s">
        <v>17</v>
      </c>
      <c r="E221" s="647">
        <v>164.6</v>
      </c>
      <c r="F221" s="136"/>
    </row>
    <row r="222" spans="1:6" ht="15" customHeight="1">
      <c r="A222" s="439"/>
      <c r="B222" s="435" t="s">
        <v>1378</v>
      </c>
      <c r="C222" s="648" t="s">
        <v>1381</v>
      </c>
      <c r="D222" s="441" t="s">
        <v>64</v>
      </c>
      <c r="E222" s="647">
        <v>160.28</v>
      </c>
      <c r="F222" s="136"/>
    </row>
    <row r="223" spans="1:6" ht="15" customHeight="1">
      <c r="A223" s="439"/>
      <c r="B223" s="435" t="s">
        <v>1379</v>
      </c>
      <c r="C223" s="648" t="s">
        <v>1382</v>
      </c>
      <c r="D223" s="441" t="s">
        <v>64</v>
      </c>
      <c r="E223" s="647">
        <v>343.82</v>
      </c>
      <c r="F223" s="136"/>
    </row>
    <row r="224" spans="1:6" ht="15" customHeight="1">
      <c r="A224" s="439"/>
      <c r="B224" s="435" t="s">
        <v>1380</v>
      </c>
      <c r="C224" s="648" t="s">
        <v>1383</v>
      </c>
      <c r="D224" s="441" t="s">
        <v>64</v>
      </c>
      <c r="E224" s="647">
        <v>359.45</v>
      </c>
      <c r="F224" s="136"/>
    </row>
    <row r="225" spans="1:6" ht="31.5" customHeight="1">
      <c r="A225" s="651" t="s">
        <v>1391</v>
      </c>
      <c r="B225" s="435" t="s">
        <v>1386</v>
      </c>
      <c r="C225" s="648" t="s">
        <v>1385</v>
      </c>
      <c r="D225" s="441" t="s">
        <v>64</v>
      </c>
      <c r="E225" s="647">
        <v>5387.93</v>
      </c>
      <c r="F225" s="136"/>
    </row>
    <row r="226" spans="1:6" ht="28.8">
      <c r="A226" s="651" t="s">
        <v>1390</v>
      </c>
      <c r="B226" s="435" t="s">
        <v>1387</v>
      </c>
      <c r="C226" s="648" t="s">
        <v>1388</v>
      </c>
      <c r="D226" s="441" t="s">
        <v>64</v>
      </c>
      <c r="E226" s="647">
        <v>6033.62</v>
      </c>
      <c r="F226" s="136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40"/>
  <sheetViews>
    <sheetView topLeftCell="A124" zoomScale="80" zoomScaleNormal="80" workbookViewId="0">
      <selection activeCell="M140" sqref="M140"/>
    </sheetView>
  </sheetViews>
  <sheetFormatPr defaultColWidth="11.44140625" defaultRowHeight="15" customHeight="1"/>
  <cols>
    <col min="1" max="1" width="16.6640625" style="62" customWidth="1"/>
    <col min="2" max="2" width="24" style="62" customWidth="1"/>
    <col min="3" max="4" width="11.44140625" style="62" customWidth="1"/>
    <col min="5" max="5" width="14.44140625" style="62" customWidth="1"/>
    <col min="6" max="6" width="13.6640625" style="62" customWidth="1"/>
    <col min="7" max="7" width="11.44140625" style="62" customWidth="1"/>
    <col min="8" max="8" width="29.109375" style="62" customWidth="1"/>
    <col min="9" max="9" width="24.88671875" style="62" customWidth="1"/>
    <col min="10" max="10" width="11.44140625" style="62" customWidth="1"/>
    <col min="11" max="11" width="14.109375" style="62" customWidth="1"/>
    <col min="12" max="12" width="13" style="62" customWidth="1"/>
    <col min="13" max="13" width="13.44140625" style="62" customWidth="1"/>
    <col min="14" max="14" width="11.44140625" style="62" customWidth="1"/>
    <col min="15" max="15" width="18.33203125" style="62" customWidth="1"/>
    <col min="16" max="16" width="24.88671875" style="62" customWidth="1"/>
    <col min="17" max="18" width="11.44140625" style="62" customWidth="1"/>
    <col min="19" max="19" width="15.88671875" style="62" customWidth="1"/>
    <col min="20" max="20" width="26.44140625" style="62" customWidth="1"/>
    <col min="21" max="21" width="11.44140625" style="62" customWidth="1"/>
    <col min="22" max="22" width="18.109375" style="62" customWidth="1"/>
    <col min="23" max="23" width="26" style="62" customWidth="1"/>
    <col min="24" max="25" width="11.44140625" style="62" customWidth="1"/>
    <col min="26" max="26" width="31.6640625" style="62" customWidth="1"/>
    <col min="27" max="27" width="14.109375" style="62" customWidth="1"/>
    <col min="28" max="28" width="11.44140625" style="62" customWidth="1"/>
    <col min="29" max="29" width="17.109375" style="62" customWidth="1"/>
    <col min="30" max="30" width="22" style="62" customWidth="1"/>
    <col min="31" max="32" width="11.44140625" style="62" customWidth="1"/>
    <col min="33" max="33" width="17" style="62" customWidth="1"/>
    <col min="34" max="34" width="14" style="62" customWidth="1"/>
    <col min="35" max="35" width="11.44140625" style="62" customWidth="1"/>
    <col min="36" max="36" width="17.6640625" style="62" customWidth="1"/>
    <col min="37" max="37" width="22.44140625" style="62" customWidth="1"/>
    <col min="38" max="38" width="29.33203125" style="62" customWidth="1"/>
    <col min="39" max="39" width="11.44140625" style="62" customWidth="1"/>
    <col min="40" max="40" width="13.44140625" style="62" customWidth="1"/>
    <col min="41" max="41" width="14.44140625" style="62" customWidth="1"/>
    <col min="42" max="42" width="11.44140625" style="62" customWidth="1"/>
    <col min="43" max="43" width="19" style="62" customWidth="1"/>
    <col min="44" max="44" width="33" style="62" customWidth="1"/>
    <col min="45" max="46" width="11.44140625" style="62" customWidth="1"/>
    <col min="47" max="47" width="13.109375" style="62" customWidth="1"/>
    <col min="48" max="48" width="15.109375" style="62" customWidth="1"/>
    <col min="49" max="49" width="11.44140625" style="62" customWidth="1"/>
    <col min="50" max="50" width="16.88671875" style="62" customWidth="1"/>
    <col min="51" max="51" width="23.109375" style="62" customWidth="1"/>
    <col min="52" max="53" width="11.44140625" style="62" customWidth="1"/>
    <col min="54" max="54" width="13.44140625" style="62" customWidth="1"/>
    <col min="55" max="55" width="15" style="62" customWidth="1"/>
    <col min="56" max="56" width="22.33203125" style="62" customWidth="1"/>
    <col min="57" max="57" width="15.44140625" style="62" customWidth="1"/>
    <col min="58" max="58" width="21.6640625" style="62" customWidth="1"/>
    <col min="59" max="60" width="11.44140625" style="62" customWidth="1"/>
    <col min="61" max="61" width="14" style="62" customWidth="1"/>
    <col min="62" max="62" width="32" style="62" customWidth="1"/>
    <col min="63" max="63" width="20.88671875" style="62" customWidth="1"/>
    <col min="64" max="64" width="17.44140625" style="62" customWidth="1"/>
    <col min="65" max="65" width="22.109375" style="62" customWidth="1"/>
    <col min="66" max="67" width="11.44140625" style="62" customWidth="1"/>
    <col min="68" max="68" width="14" style="62" customWidth="1"/>
    <col min="69" max="69" width="14.44140625" style="62" customWidth="1"/>
    <col min="70" max="70" width="11.44140625" style="62" customWidth="1"/>
    <col min="71" max="71" width="14.44140625" style="62" customWidth="1"/>
    <col min="72" max="72" width="24.109375" style="62" customWidth="1"/>
    <col min="73" max="73" width="11.44140625" style="62" customWidth="1"/>
    <col min="74" max="74" width="28.109375" style="62" customWidth="1"/>
    <col min="75" max="75" width="13.6640625" style="62" customWidth="1"/>
    <col min="76" max="76" width="15.44140625" style="62" customWidth="1"/>
    <col min="77" max="77" width="11.44140625" style="62" customWidth="1"/>
    <col min="78" max="78" width="15" style="62" customWidth="1"/>
    <col min="79" max="79" width="21.88671875" style="62" customWidth="1"/>
    <col min="80" max="80" width="33.5546875" style="62" customWidth="1"/>
    <col min="81" max="81" width="11.44140625" style="62" customWidth="1"/>
    <col min="82" max="82" width="14" style="62" customWidth="1"/>
    <col min="83" max="83" width="14.44140625" style="62" customWidth="1"/>
    <col min="84" max="84" width="11.44140625" style="62" customWidth="1"/>
    <col min="85" max="85" width="13.6640625" style="62" customWidth="1"/>
    <col min="86" max="86" width="22.109375" style="62" customWidth="1"/>
    <col min="87" max="88" width="11.44140625" style="62" customWidth="1"/>
    <col min="89" max="89" width="14.44140625" style="62" customWidth="1"/>
    <col min="90" max="90" width="14.88671875" style="62" customWidth="1"/>
    <col min="91" max="91" width="11.44140625" style="62" customWidth="1"/>
    <col min="92" max="92" width="17.109375" style="62" customWidth="1"/>
    <col min="93" max="93" width="21.109375" style="62" customWidth="1"/>
    <col min="94" max="95" width="11.44140625" style="62" customWidth="1"/>
    <col min="96" max="96" width="14" style="62" customWidth="1"/>
    <col min="97" max="97" width="14.109375" style="62" customWidth="1"/>
    <col min="98" max="98" width="11.44140625" style="62" customWidth="1"/>
    <col min="99" max="99" width="14.88671875" style="62" customWidth="1"/>
    <col min="100" max="100" width="23.109375" style="62" customWidth="1"/>
    <col min="101" max="102" width="11.44140625" style="62" customWidth="1"/>
    <col min="103" max="103" width="13.44140625" style="62" customWidth="1"/>
    <col min="104" max="104" width="14.44140625" style="62" customWidth="1"/>
    <col min="105" max="105" width="11.44140625" style="62" customWidth="1"/>
    <col min="106" max="106" width="14.44140625" style="62" customWidth="1"/>
    <col min="107" max="107" width="21" style="62" customWidth="1"/>
    <col min="108" max="109" width="11.44140625" style="62" customWidth="1"/>
    <col min="110" max="110" width="15.109375" style="62" customWidth="1"/>
    <col min="111" max="111" width="14" style="62" customWidth="1"/>
    <col min="112" max="256" width="11.44140625" style="62" customWidth="1"/>
  </cols>
  <sheetData>
    <row r="1" spans="1:111" ht="15" customHeight="1">
      <c r="A1" s="63"/>
      <c r="B1" s="63"/>
      <c r="C1" s="63"/>
      <c r="D1" s="63"/>
      <c r="E1" s="63"/>
      <c r="F1" s="63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</row>
    <row r="2" spans="1:111" ht="15" customHeight="1">
      <c r="A2" s="64" t="s">
        <v>71</v>
      </c>
      <c r="B2" s="848" t="s">
        <v>36</v>
      </c>
      <c r="C2" s="847"/>
      <c r="D2" s="847"/>
      <c r="E2" s="849"/>
      <c r="F2" s="66" t="s">
        <v>17</v>
      </c>
      <c r="G2" s="67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</row>
    <row r="3" spans="1:111" ht="15" customHeight="1">
      <c r="A3" s="68" t="s">
        <v>1</v>
      </c>
      <c r="B3" s="69" t="s">
        <v>2</v>
      </c>
      <c r="C3" s="69" t="s">
        <v>72</v>
      </c>
      <c r="D3" s="69" t="s">
        <v>3</v>
      </c>
      <c r="E3" s="69" t="s">
        <v>10</v>
      </c>
      <c r="F3" s="70" t="s">
        <v>11</v>
      </c>
      <c r="G3" s="67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</row>
    <row r="4" spans="1:111" ht="15" customHeight="1">
      <c r="A4" s="71" t="str">
        <f>MATERIALES!B5</f>
        <v>CEM-001</v>
      </c>
      <c r="B4" s="71" t="s">
        <v>74</v>
      </c>
      <c r="C4" s="72">
        <v>0.36</v>
      </c>
      <c r="D4" s="71" t="s">
        <v>75</v>
      </c>
      <c r="E4" s="73">
        <f>MATERIALES!E5</f>
        <v>3500</v>
      </c>
      <c r="F4" s="74">
        <f>(C4*E4)</f>
        <v>1260</v>
      </c>
      <c r="G4" s="67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</row>
    <row r="5" spans="1:111" ht="15" customHeight="1">
      <c r="A5" s="75" t="str">
        <f>MATERIALES!B8</f>
        <v>ARE-001</v>
      </c>
      <c r="B5" s="75" t="s">
        <v>77</v>
      </c>
      <c r="C5" s="76">
        <v>1.1499999999999999</v>
      </c>
      <c r="D5" s="75" t="s">
        <v>17</v>
      </c>
      <c r="E5" s="77">
        <f>MATERIALES!E8</f>
        <v>189</v>
      </c>
      <c r="F5" s="78">
        <f>(C5*E5)</f>
        <v>217.35</v>
      </c>
      <c r="G5" s="67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</row>
    <row r="6" spans="1:111" ht="15" customHeight="1">
      <c r="A6" s="79" t="str">
        <f>MATERIALES!B15</f>
        <v>AGU-001</v>
      </c>
      <c r="B6" s="79" t="s">
        <v>78</v>
      </c>
      <c r="C6" s="80">
        <v>0.26100000000000001</v>
      </c>
      <c r="D6" s="79" t="s">
        <v>17</v>
      </c>
      <c r="E6" s="81">
        <f>MATERIALES!E15</f>
        <v>10</v>
      </c>
      <c r="F6" s="82">
        <f>(C6*E6)</f>
        <v>2.6100000000000003</v>
      </c>
      <c r="G6" s="67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</row>
    <row r="7" spans="1:111" ht="15" customHeight="1">
      <c r="A7" s="854" t="s">
        <v>79</v>
      </c>
      <c r="B7" s="855"/>
      <c r="C7" s="855"/>
      <c r="D7" s="855"/>
      <c r="E7" s="856"/>
      <c r="F7" s="83">
        <f>(F4+F5+F6)</f>
        <v>1479.9599999999998</v>
      </c>
      <c r="G7" s="67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</row>
    <row r="8" spans="1:111" ht="15" customHeight="1">
      <c r="A8" s="84"/>
      <c r="B8" s="84"/>
      <c r="C8" s="84"/>
      <c r="D8" s="84"/>
      <c r="E8" s="84"/>
      <c r="F8" s="84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</row>
    <row r="9" spans="1:111" ht="15" customHeight="1">
      <c r="A9" s="64" t="s">
        <v>80</v>
      </c>
      <c r="B9" s="848" t="s">
        <v>81</v>
      </c>
      <c r="C9" s="847"/>
      <c r="D9" s="847"/>
      <c r="E9" s="849"/>
      <c r="F9" s="66" t="s">
        <v>17</v>
      </c>
      <c r="G9" s="67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</row>
    <row r="10" spans="1:111" ht="15" customHeight="1">
      <c r="A10" s="85" t="s">
        <v>1</v>
      </c>
      <c r="B10" s="86" t="s">
        <v>2</v>
      </c>
      <c r="C10" s="86" t="s">
        <v>72</v>
      </c>
      <c r="D10" s="86" t="s">
        <v>3</v>
      </c>
      <c r="E10" s="86" t="s">
        <v>10</v>
      </c>
      <c r="F10" s="87" t="s">
        <v>11</v>
      </c>
      <c r="G10" s="67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</row>
    <row r="11" spans="1:111" ht="15" customHeight="1">
      <c r="A11" s="88" t="s">
        <v>82</v>
      </c>
      <c r="B11" s="71" t="s">
        <v>83</v>
      </c>
      <c r="C11" s="72">
        <v>1.339</v>
      </c>
      <c r="D11" s="89" t="s">
        <v>75</v>
      </c>
      <c r="E11" s="73">
        <f>MATERIALES!E6</f>
        <v>5200</v>
      </c>
      <c r="F11" s="74">
        <f>C11*E11</f>
        <v>6962.8</v>
      </c>
      <c r="G11" s="67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</row>
    <row r="12" spans="1:111" ht="15" customHeight="1">
      <c r="A12" s="90" t="str">
        <f>MATERIALES!B15</f>
        <v>AGU-001</v>
      </c>
      <c r="B12" s="79" t="s">
        <v>78</v>
      </c>
      <c r="C12" s="91">
        <v>1.17</v>
      </c>
      <c r="D12" s="92" t="s">
        <v>17</v>
      </c>
      <c r="E12" s="81">
        <f>MATERIALES!E15</f>
        <v>10</v>
      </c>
      <c r="F12" s="82">
        <f>C12*E12</f>
        <v>11.7</v>
      </c>
      <c r="G12" s="67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</row>
    <row r="13" spans="1:111" ht="15" customHeight="1">
      <c r="A13" s="816" t="s">
        <v>79</v>
      </c>
      <c r="B13" s="817"/>
      <c r="C13" s="817"/>
      <c r="D13" s="817"/>
      <c r="E13" s="818"/>
      <c r="F13" s="83">
        <f>SUM(F11:F12)</f>
        <v>6974.5</v>
      </c>
      <c r="G13" s="67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</row>
    <row r="14" spans="1:111" ht="15" customHeight="1">
      <c r="A14" s="84"/>
      <c r="B14" s="84"/>
      <c r="C14" s="84"/>
      <c r="D14" s="84"/>
      <c r="E14" s="84"/>
      <c r="F14" s="84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</row>
    <row r="15" spans="1:111" ht="15" customHeight="1">
      <c r="A15" s="64" t="s">
        <v>84</v>
      </c>
      <c r="B15" s="848" t="s">
        <v>85</v>
      </c>
      <c r="C15" s="847"/>
      <c r="D15" s="847"/>
      <c r="E15" s="849"/>
      <c r="F15" s="66" t="s">
        <v>17</v>
      </c>
      <c r="G15" s="67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</row>
    <row r="16" spans="1:111" ht="15" customHeight="1">
      <c r="A16" s="85" t="s">
        <v>1</v>
      </c>
      <c r="B16" s="86" t="s">
        <v>2</v>
      </c>
      <c r="C16" s="86" t="s">
        <v>72</v>
      </c>
      <c r="D16" s="86" t="s">
        <v>3</v>
      </c>
      <c r="E16" s="86" t="s">
        <v>10</v>
      </c>
      <c r="F16" s="87" t="s">
        <v>11</v>
      </c>
      <c r="G16" s="67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</row>
    <row r="17" spans="1:111" ht="15" customHeight="1">
      <c r="A17" s="88" t="str">
        <f>MATERIALES!B5</f>
        <v>CEM-001</v>
      </c>
      <c r="B17" s="71" t="s">
        <v>74</v>
      </c>
      <c r="C17" s="72">
        <v>1.339</v>
      </c>
      <c r="D17" s="89" t="s">
        <v>75</v>
      </c>
      <c r="E17" s="73">
        <f>MATERIALES!E5</f>
        <v>3500</v>
      </c>
      <c r="F17" s="74">
        <f>C17*E17</f>
        <v>4686.5</v>
      </c>
      <c r="G17" s="67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</row>
    <row r="18" spans="1:111" ht="15" customHeight="1">
      <c r="A18" s="90" t="str">
        <f>MATERIALES!B15</f>
        <v>AGU-001</v>
      </c>
      <c r="B18" s="79" t="s">
        <v>78</v>
      </c>
      <c r="C18" s="91">
        <v>1.17</v>
      </c>
      <c r="D18" s="92" t="s">
        <v>17</v>
      </c>
      <c r="E18" s="81">
        <f>MATERIALES!E15</f>
        <v>10</v>
      </c>
      <c r="F18" s="82">
        <f>C18*E18</f>
        <v>11.7</v>
      </c>
      <c r="G18" s="67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</row>
    <row r="19" spans="1:111" ht="15" customHeight="1">
      <c r="A19" s="867" t="s">
        <v>79</v>
      </c>
      <c r="B19" s="868"/>
      <c r="C19" s="868"/>
      <c r="D19" s="868"/>
      <c r="E19" s="869"/>
      <c r="F19" s="83">
        <f>SUM(F17:F18)</f>
        <v>4698.2</v>
      </c>
      <c r="G19" s="67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</row>
    <row r="20" spans="1:111" ht="15" customHeight="1">
      <c r="A20" s="84"/>
      <c r="B20" s="84"/>
      <c r="C20" s="84"/>
      <c r="D20" s="84"/>
      <c r="E20" s="84"/>
      <c r="F20" s="84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</row>
    <row r="21" spans="1:111" ht="15" customHeight="1">
      <c r="A21" s="64" t="s">
        <v>86</v>
      </c>
      <c r="B21" s="848" t="s">
        <v>87</v>
      </c>
      <c r="C21" s="847"/>
      <c r="D21" s="847"/>
      <c r="E21" s="849"/>
      <c r="F21" s="66" t="s">
        <v>17</v>
      </c>
      <c r="G21" s="67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</row>
    <row r="22" spans="1:111" ht="15" customHeight="1">
      <c r="A22" s="93" t="s">
        <v>1</v>
      </c>
      <c r="B22" s="94" t="s">
        <v>2</v>
      </c>
      <c r="C22" s="94" t="s">
        <v>72</v>
      </c>
      <c r="D22" s="94" t="s">
        <v>3</v>
      </c>
      <c r="E22" s="94" t="s">
        <v>10</v>
      </c>
      <c r="F22" s="95" t="s">
        <v>11</v>
      </c>
      <c r="G22" s="67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</row>
    <row r="23" spans="1:111" ht="15" customHeight="1">
      <c r="A23" s="88" t="s">
        <v>82</v>
      </c>
      <c r="B23" s="71" t="s">
        <v>83</v>
      </c>
      <c r="C23" s="72">
        <v>1.5449999999999999</v>
      </c>
      <c r="D23" s="89" t="s">
        <v>75</v>
      </c>
      <c r="E23" s="73">
        <f>MATERIALES!E6</f>
        <v>5200</v>
      </c>
      <c r="F23" s="74">
        <f>C23*E23</f>
        <v>8034</v>
      </c>
      <c r="G23" s="67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</row>
    <row r="24" spans="1:111" ht="15" customHeight="1">
      <c r="A24" s="90" t="str">
        <f>MATERIALES!B15</f>
        <v>AGU-001</v>
      </c>
      <c r="B24" s="79" t="s">
        <v>78</v>
      </c>
      <c r="C24" s="91">
        <v>0.91</v>
      </c>
      <c r="D24" s="92" t="s">
        <v>17</v>
      </c>
      <c r="E24" s="81">
        <f>MATERIALES!E15</f>
        <v>10</v>
      </c>
      <c r="F24" s="82">
        <f>C24*E24</f>
        <v>9.1</v>
      </c>
      <c r="G24" s="67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</row>
    <row r="25" spans="1:111" ht="15" customHeight="1">
      <c r="A25" s="873" t="s">
        <v>79</v>
      </c>
      <c r="B25" s="874"/>
      <c r="C25" s="874"/>
      <c r="D25" s="874"/>
      <c r="E25" s="875"/>
      <c r="F25" s="83">
        <f>SUM(F23:F24)</f>
        <v>8043.1</v>
      </c>
      <c r="G25" s="67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</row>
    <row r="26" spans="1:111" ht="15" customHeight="1">
      <c r="A26" s="84"/>
      <c r="B26" s="84"/>
      <c r="C26" s="84"/>
      <c r="D26" s="84"/>
      <c r="E26" s="84"/>
      <c r="F26" s="84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</row>
    <row r="27" spans="1:111" ht="15" customHeight="1">
      <c r="A27" s="64" t="s">
        <v>88</v>
      </c>
      <c r="B27" s="848" t="s">
        <v>89</v>
      </c>
      <c r="C27" s="847"/>
      <c r="D27" s="847"/>
      <c r="E27" s="849"/>
      <c r="F27" s="66" t="s">
        <v>17</v>
      </c>
      <c r="G27" s="67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</row>
    <row r="28" spans="1:111" ht="15" customHeight="1">
      <c r="A28" s="93" t="s">
        <v>1</v>
      </c>
      <c r="B28" s="94" t="s">
        <v>2</v>
      </c>
      <c r="C28" s="94" t="s">
        <v>72</v>
      </c>
      <c r="D28" s="94" t="s">
        <v>3</v>
      </c>
      <c r="E28" s="94" t="s">
        <v>10</v>
      </c>
      <c r="F28" s="95" t="s">
        <v>11</v>
      </c>
      <c r="G28" s="67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</row>
    <row r="29" spans="1:111" ht="15" customHeight="1">
      <c r="A29" s="88" t="str">
        <f>MATERIALES!B5</f>
        <v>CEM-001</v>
      </c>
      <c r="B29" s="71" t="s">
        <v>74</v>
      </c>
      <c r="C29" s="72">
        <v>1.5449999999999999</v>
      </c>
      <c r="D29" s="89" t="s">
        <v>75</v>
      </c>
      <c r="E29" s="73">
        <f>MATERIALES!E5</f>
        <v>3500</v>
      </c>
      <c r="F29" s="74">
        <f>C29*E29</f>
        <v>5407.5</v>
      </c>
      <c r="G29" s="67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</row>
    <row r="30" spans="1:111" ht="15" customHeight="1">
      <c r="A30" s="90" t="str">
        <f>MATERIALES!B15</f>
        <v>AGU-001</v>
      </c>
      <c r="B30" s="79" t="s">
        <v>78</v>
      </c>
      <c r="C30" s="91">
        <v>0.91</v>
      </c>
      <c r="D30" s="92" t="s">
        <v>17</v>
      </c>
      <c r="E30" s="81">
        <f>MATERIALES!E15</f>
        <v>10</v>
      </c>
      <c r="F30" s="82">
        <f>C30*E30</f>
        <v>9.1</v>
      </c>
      <c r="G30" s="67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</row>
    <row r="31" spans="1:111" ht="15" customHeight="1">
      <c r="A31" s="873" t="s">
        <v>79</v>
      </c>
      <c r="B31" s="874"/>
      <c r="C31" s="874"/>
      <c r="D31" s="874"/>
      <c r="E31" s="875"/>
      <c r="F31" s="83">
        <f>SUM(F29:F30)</f>
        <v>5416.6</v>
      </c>
      <c r="G31" s="67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</row>
    <row r="32" spans="1:111" ht="15" customHeight="1">
      <c r="A32" s="84"/>
      <c r="B32" s="84"/>
      <c r="C32" s="84"/>
      <c r="D32" s="84"/>
      <c r="E32" s="84"/>
      <c r="F32" s="84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</row>
    <row r="33" spans="1:111" ht="15" customHeight="1">
      <c r="A33" s="64" t="s">
        <v>90</v>
      </c>
      <c r="B33" s="848" t="s">
        <v>91</v>
      </c>
      <c r="C33" s="847"/>
      <c r="D33" s="847"/>
      <c r="E33" s="849"/>
      <c r="F33" s="66" t="s">
        <v>17</v>
      </c>
      <c r="G33" s="67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</row>
    <row r="34" spans="1:111" ht="15" customHeight="1">
      <c r="A34" s="93" t="s">
        <v>1</v>
      </c>
      <c r="B34" s="94" t="s">
        <v>2</v>
      </c>
      <c r="C34" s="94" t="s">
        <v>72</v>
      </c>
      <c r="D34" s="94" t="s">
        <v>3</v>
      </c>
      <c r="E34" s="94" t="s">
        <v>10</v>
      </c>
      <c r="F34" s="95" t="s">
        <v>11</v>
      </c>
      <c r="G34" s="67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</row>
    <row r="35" spans="1:111" ht="15" customHeight="1">
      <c r="A35" s="88" t="s">
        <v>92</v>
      </c>
      <c r="B35" s="71" t="s">
        <v>93</v>
      </c>
      <c r="C35" s="72">
        <v>0.83399999999999996</v>
      </c>
      <c r="D35" s="89" t="s">
        <v>75</v>
      </c>
      <c r="E35" s="73">
        <f>MATERIALES!E7</f>
        <v>1551.72</v>
      </c>
      <c r="F35" s="74">
        <f>C35*E35</f>
        <v>1294.1344799999999</v>
      </c>
      <c r="G35" s="67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</row>
    <row r="36" spans="1:111" ht="15" customHeight="1">
      <c r="A36" s="90" t="str">
        <f>MATERIALES!B15</f>
        <v>AGU-001</v>
      </c>
      <c r="B36" s="79" t="s">
        <v>78</v>
      </c>
      <c r="C36" s="91">
        <v>1.17</v>
      </c>
      <c r="D36" s="92" t="s">
        <v>17</v>
      </c>
      <c r="E36" s="81">
        <f>MATERIALES!E15</f>
        <v>10</v>
      </c>
      <c r="F36" s="82">
        <f>C36*E36</f>
        <v>11.7</v>
      </c>
      <c r="G36" s="67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</row>
    <row r="37" spans="1:111" ht="15" customHeight="1">
      <c r="A37" s="873" t="s">
        <v>79</v>
      </c>
      <c r="B37" s="874"/>
      <c r="C37" s="874"/>
      <c r="D37" s="874"/>
      <c r="E37" s="875"/>
      <c r="F37" s="83">
        <f>SUM(F35:F36)</f>
        <v>1305.83448</v>
      </c>
      <c r="G37" s="67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</row>
    <row r="38" spans="1:111" ht="15" customHeight="1">
      <c r="A38" s="84"/>
      <c r="B38" s="84"/>
      <c r="C38" s="84"/>
      <c r="D38" s="84"/>
      <c r="E38" s="84"/>
      <c r="F38" s="84"/>
      <c r="G38" s="61"/>
      <c r="H38" s="63"/>
      <c r="I38" s="63"/>
      <c r="J38" s="63"/>
      <c r="K38" s="63"/>
      <c r="L38" s="63"/>
      <c r="M38" s="63"/>
      <c r="N38" s="61"/>
      <c r="O38" s="63"/>
      <c r="P38" s="63"/>
      <c r="Q38" s="63"/>
      <c r="R38" s="63"/>
      <c r="S38" s="63"/>
      <c r="T38" s="63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</row>
    <row r="39" spans="1:111" ht="15" customHeight="1">
      <c r="A39" s="64" t="s">
        <v>94</v>
      </c>
      <c r="B39" s="848" t="s">
        <v>95</v>
      </c>
      <c r="C39" s="847"/>
      <c r="D39" s="847"/>
      <c r="E39" s="849"/>
      <c r="F39" s="66" t="s">
        <v>17</v>
      </c>
      <c r="G39" s="96"/>
      <c r="H39" s="64" t="s">
        <v>96</v>
      </c>
      <c r="I39" s="848" t="s">
        <v>97</v>
      </c>
      <c r="J39" s="847"/>
      <c r="K39" s="847"/>
      <c r="L39" s="849"/>
      <c r="M39" s="66" t="s">
        <v>17</v>
      </c>
      <c r="N39" s="96"/>
      <c r="O39" s="64" t="s">
        <v>98</v>
      </c>
      <c r="P39" s="848" t="s">
        <v>99</v>
      </c>
      <c r="Q39" s="847"/>
      <c r="R39" s="847"/>
      <c r="S39" s="849"/>
      <c r="T39" s="66" t="s">
        <v>17</v>
      </c>
      <c r="U39" s="67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</row>
    <row r="40" spans="1:111" ht="15" customHeight="1">
      <c r="A40" s="97" t="s">
        <v>1</v>
      </c>
      <c r="B40" s="98" t="s">
        <v>2</v>
      </c>
      <c r="C40" s="98" t="s">
        <v>72</v>
      </c>
      <c r="D40" s="98" t="s">
        <v>3</v>
      </c>
      <c r="E40" s="98" t="s">
        <v>10</v>
      </c>
      <c r="F40" s="99" t="s">
        <v>11</v>
      </c>
      <c r="G40" s="96"/>
      <c r="H40" s="97" t="s">
        <v>1</v>
      </c>
      <c r="I40" s="98" t="s">
        <v>2</v>
      </c>
      <c r="J40" s="98" t="s">
        <v>72</v>
      </c>
      <c r="K40" s="98" t="s">
        <v>3</v>
      </c>
      <c r="L40" s="98" t="s">
        <v>10</v>
      </c>
      <c r="M40" s="99" t="s">
        <v>11</v>
      </c>
      <c r="N40" s="96"/>
      <c r="O40" s="97" t="s">
        <v>1</v>
      </c>
      <c r="P40" s="98" t="s">
        <v>2</v>
      </c>
      <c r="Q40" s="98" t="s">
        <v>72</v>
      </c>
      <c r="R40" s="98" t="s">
        <v>3</v>
      </c>
      <c r="S40" s="98" t="s">
        <v>10</v>
      </c>
      <c r="T40" s="99" t="s">
        <v>11</v>
      </c>
      <c r="U40" s="67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</row>
    <row r="41" spans="1:111" ht="15" customHeight="1">
      <c r="A41" s="88" t="s">
        <v>82</v>
      </c>
      <c r="B41" s="71" t="s">
        <v>100</v>
      </c>
      <c r="C41" s="72">
        <v>0.54</v>
      </c>
      <c r="D41" s="89" t="s">
        <v>75</v>
      </c>
      <c r="E41" s="73">
        <f>MATERIALES!E6</f>
        <v>5200</v>
      </c>
      <c r="F41" s="74">
        <f>C41*E41</f>
        <v>2808</v>
      </c>
      <c r="G41" s="96"/>
      <c r="H41" s="88" t="s">
        <v>82</v>
      </c>
      <c r="I41" s="71" t="s">
        <v>100</v>
      </c>
      <c r="J41" s="72">
        <v>0.44</v>
      </c>
      <c r="K41" s="89" t="s">
        <v>75</v>
      </c>
      <c r="L41" s="73">
        <f>MATERIALES!E6</f>
        <v>5200</v>
      </c>
      <c r="M41" s="74">
        <f>J41*L41</f>
        <v>2288</v>
      </c>
      <c r="N41" s="96"/>
      <c r="O41" s="88" t="s">
        <v>82</v>
      </c>
      <c r="P41" s="71" t="s">
        <v>100</v>
      </c>
      <c r="Q41" s="100">
        <v>0.44</v>
      </c>
      <c r="R41" s="89" t="s">
        <v>75</v>
      </c>
      <c r="S41" s="73">
        <f>MATERIALES!E6</f>
        <v>5200</v>
      </c>
      <c r="T41" s="74">
        <f>Q41*S41</f>
        <v>2288</v>
      </c>
      <c r="U41" s="67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</row>
    <row r="42" spans="1:111" ht="15" customHeight="1">
      <c r="A42" s="101" t="s">
        <v>101</v>
      </c>
      <c r="B42" s="75" t="s">
        <v>102</v>
      </c>
      <c r="C42" s="102">
        <v>2.1</v>
      </c>
      <c r="D42" s="103" t="s">
        <v>75</v>
      </c>
      <c r="E42" s="77">
        <f>MATERIALES!E132</f>
        <v>1034.48</v>
      </c>
      <c r="F42" s="78">
        <f>C42*E42</f>
        <v>2172.4080000000004</v>
      </c>
      <c r="G42" s="96"/>
      <c r="H42" s="101" t="s">
        <v>101</v>
      </c>
      <c r="I42" s="75" t="s">
        <v>102</v>
      </c>
      <c r="J42" s="102">
        <v>2.2000000000000002</v>
      </c>
      <c r="K42" s="103" t="s">
        <v>75</v>
      </c>
      <c r="L42" s="77">
        <f>MATERIALES!E132</f>
        <v>1034.48</v>
      </c>
      <c r="M42" s="78">
        <f>J42*L42</f>
        <v>2275.8560000000002</v>
      </c>
      <c r="N42" s="96"/>
      <c r="O42" s="101" t="s">
        <v>101</v>
      </c>
      <c r="P42" s="75" t="s">
        <v>102</v>
      </c>
      <c r="Q42" s="102">
        <v>2.2000000000000002</v>
      </c>
      <c r="R42" s="103" t="s">
        <v>75</v>
      </c>
      <c r="S42" s="77">
        <f>MATERIALES!E132</f>
        <v>1034.48</v>
      </c>
      <c r="T42" s="78">
        <f>Q42*S42</f>
        <v>2275.8560000000002</v>
      </c>
      <c r="U42" s="67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</row>
    <row r="43" spans="1:111" ht="15" customHeight="1">
      <c r="A43" s="90" t="str">
        <f>MATERIALES!B15</f>
        <v>AGU-001</v>
      </c>
      <c r="B43" s="79" t="s">
        <v>78</v>
      </c>
      <c r="C43" s="91">
        <v>0.28000000000000003</v>
      </c>
      <c r="D43" s="92" t="s">
        <v>17</v>
      </c>
      <c r="E43" s="81">
        <f>MATERIALES!E15</f>
        <v>10</v>
      </c>
      <c r="F43" s="82">
        <f>C43*E43</f>
        <v>2.8000000000000003</v>
      </c>
      <c r="G43" s="96"/>
      <c r="H43" s="90" t="str">
        <f>MATERIALES!B15</f>
        <v>AGU-001</v>
      </c>
      <c r="I43" s="79" t="s">
        <v>78</v>
      </c>
      <c r="J43" s="91">
        <v>0.27500000000000002</v>
      </c>
      <c r="K43" s="92" t="s">
        <v>17</v>
      </c>
      <c r="L43" s="81">
        <f>MATERIALES!E15</f>
        <v>10</v>
      </c>
      <c r="M43" s="82">
        <f>J43*L43</f>
        <v>2.75</v>
      </c>
      <c r="N43" s="96"/>
      <c r="O43" s="90" t="str">
        <f>MATERIALES!B15</f>
        <v>AGU-001</v>
      </c>
      <c r="P43" s="79" t="s">
        <v>78</v>
      </c>
      <c r="Q43" s="91">
        <v>0.27500000000000002</v>
      </c>
      <c r="R43" s="92" t="s">
        <v>17</v>
      </c>
      <c r="S43" s="81">
        <f>MATERIALES!E15</f>
        <v>10</v>
      </c>
      <c r="T43" s="82">
        <f>Q43*S43</f>
        <v>2.75</v>
      </c>
      <c r="U43" s="67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</row>
    <row r="44" spans="1:111" ht="15" customHeight="1">
      <c r="A44" s="870" t="s">
        <v>79</v>
      </c>
      <c r="B44" s="871"/>
      <c r="C44" s="871"/>
      <c r="D44" s="871"/>
      <c r="E44" s="872"/>
      <c r="F44" s="83">
        <f>SUM(F41:F43)</f>
        <v>4983.2080000000005</v>
      </c>
      <c r="G44" s="96"/>
      <c r="H44" s="870" t="s">
        <v>79</v>
      </c>
      <c r="I44" s="871"/>
      <c r="J44" s="871"/>
      <c r="K44" s="871"/>
      <c r="L44" s="872"/>
      <c r="M44" s="83">
        <f>SUM(M41:M43)</f>
        <v>4566.6059999999998</v>
      </c>
      <c r="N44" s="96"/>
      <c r="O44" s="870" t="s">
        <v>79</v>
      </c>
      <c r="P44" s="871"/>
      <c r="Q44" s="871"/>
      <c r="R44" s="871"/>
      <c r="S44" s="872"/>
      <c r="T44" s="83">
        <f>SUM(T41:T43)</f>
        <v>4566.6059999999998</v>
      </c>
      <c r="U44" s="67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</row>
    <row r="45" spans="1:111" ht="15" customHeight="1">
      <c r="A45" s="84"/>
      <c r="B45" s="84"/>
      <c r="C45" s="84"/>
      <c r="D45" s="84"/>
      <c r="E45" s="84"/>
      <c r="F45" s="84"/>
      <c r="G45" s="61"/>
      <c r="H45" s="84"/>
      <c r="I45" s="84"/>
      <c r="J45" s="84"/>
      <c r="K45" s="84"/>
      <c r="L45" s="84"/>
      <c r="M45" s="84"/>
      <c r="N45" s="61"/>
      <c r="O45" s="84"/>
      <c r="P45" s="84"/>
      <c r="Q45" s="84"/>
      <c r="R45" s="84"/>
      <c r="S45" s="84"/>
      <c r="T45" s="84"/>
      <c r="U45" s="61"/>
      <c r="V45" s="63"/>
      <c r="W45" s="63"/>
      <c r="X45" s="63"/>
      <c r="Y45" s="63"/>
      <c r="Z45" s="63"/>
      <c r="AA45" s="63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</row>
    <row r="46" spans="1:111" ht="15" customHeight="1">
      <c r="A46" s="64" t="s">
        <v>103</v>
      </c>
      <c r="B46" s="848" t="s">
        <v>104</v>
      </c>
      <c r="C46" s="847"/>
      <c r="D46" s="847"/>
      <c r="E46" s="849"/>
      <c r="F46" s="66" t="s">
        <v>17</v>
      </c>
      <c r="G46" s="96"/>
      <c r="H46" s="64" t="s">
        <v>105</v>
      </c>
      <c r="I46" s="848" t="s">
        <v>106</v>
      </c>
      <c r="J46" s="847"/>
      <c r="K46" s="847"/>
      <c r="L46" s="849"/>
      <c r="M46" s="66" t="s">
        <v>17</v>
      </c>
      <c r="N46" s="96"/>
      <c r="O46" s="64" t="s">
        <v>107</v>
      </c>
      <c r="P46" s="848" t="s">
        <v>108</v>
      </c>
      <c r="Q46" s="847"/>
      <c r="R46" s="847"/>
      <c r="S46" s="849"/>
      <c r="T46" s="66" t="s">
        <v>17</v>
      </c>
      <c r="U46" s="96"/>
      <c r="V46" s="64" t="s">
        <v>109</v>
      </c>
      <c r="W46" s="848" t="s">
        <v>110</v>
      </c>
      <c r="X46" s="847"/>
      <c r="Y46" s="847"/>
      <c r="Z46" s="849"/>
      <c r="AA46" s="66" t="s">
        <v>17</v>
      </c>
      <c r="AB46" s="67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</row>
    <row r="47" spans="1:111" ht="15" customHeight="1">
      <c r="A47" s="104" t="s">
        <v>1</v>
      </c>
      <c r="B47" s="105" t="s">
        <v>2</v>
      </c>
      <c r="C47" s="105" t="s">
        <v>72</v>
      </c>
      <c r="D47" s="105" t="s">
        <v>3</v>
      </c>
      <c r="E47" s="105" t="s">
        <v>10</v>
      </c>
      <c r="F47" s="106" t="s">
        <v>11</v>
      </c>
      <c r="G47" s="96"/>
      <c r="H47" s="104" t="s">
        <v>1</v>
      </c>
      <c r="I47" s="105" t="s">
        <v>2</v>
      </c>
      <c r="J47" s="105" t="s">
        <v>72</v>
      </c>
      <c r="K47" s="105" t="s">
        <v>3</v>
      </c>
      <c r="L47" s="105" t="s">
        <v>10</v>
      </c>
      <c r="M47" s="106" t="s">
        <v>11</v>
      </c>
      <c r="N47" s="96"/>
      <c r="O47" s="104" t="s">
        <v>1</v>
      </c>
      <c r="P47" s="105" t="s">
        <v>2</v>
      </c>
      <c r="Q47" s="105" t="s">
        <v>72</v>
      </c>
      <c r="R47" s="105" t="s">
        <v>3</v>
      </c>
      <c r="S47" s="105" t="s">
        <v>10</v>
      </c>
      <c r="T47" s="106" t="s">
        <v>11</v>
      </c>
      <c r="U47" s="96"/>
      <c r="V47" s="104" t="s">
        <v>1</v>
      </c>
      <c r="W47" s="105" t="s">
        <v>2</v>
      </c>
      <c r="X47" s="105" t="s">
        <v>72</v>
      </c>
      <c r="Y47" s="105" t="s">
        <v>3</v>
      </c>
      <c r="Z47" s="105" t="s">
        <v>10</v>
      </c>
      <c r="AA47" s="106" t="s">
        <v>11</v>
      </c>
      <c r="AB47" s="67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</row>
    <row r="48" spans="1:111" ht="15" customHeight="1">
      <c r="A48" s="88" t="s">
        <v>82</v>
      </c>
      <c r="B48" s="71" t="s">
        <v>100</v>
      </c>
      <c r="C48" s="100">
        <v>0.27</v>
      </c>
      <c r="D48" s="89" t="s">
        <v>75</v>
      </c>
      <c r="E48" s="73">
        <f>MATERIALES!E6</f>
        <v>5200</v>
      </c>
      <c r="F48" s="74">
        <f>C48*E48</f>
        <v>1404</v>
      </c>
      <c r="G48" s="96"/>
      <c r="H48" s="88" t="s">
        <v>82</v>
      </c>
      <c r="I48" s="71" t="s">
        <v>100</v>
      </c>
      <c r="J48" s="100">
        <v>0.22</v>
      </c>
      <c r="K48" s="89" t="s">
        <v>75</v>
      </c>
      <c r="L48" s="73">
        <f>MATERIALES!E6</f>
        <v>5200</v>
      </c>
      <c r="M48" s="74">
        <f>J48*L48</f>
        <v>1144</v>
      </c>
      <c r="N48" s="96"/>
      <c r="O48" s="88" t="s">
        <v>82</v>
      </c>
      <c r="P48" s="71" t="s">
        <v>100</v>
      </c>
      <c r="Q48" s="100">
        <v>0.19</v>
      </c>
      <c r="R48" s="89" t="s">
        <v>75</v>
      </c>
      <c r="S48" s="73">
        <f>MATERIALES!E6</f>
        <v>5200</v>
      </c>
      <c r="T48" s="74">
        <f>Q48*S48</f>
        <v>988</v>
      </c>
      <c r="U48" s="96"/>
      <c r="V48" s="88" t="s">
        <v>82</v>
      </c>
      <c r="W48" s="71" t="s">
        <v>100</v>
      </c>
      <c r="X48" s="100">
        <v>0.13500000000000001</v>
      </c>
      <c r="Y48" s="89" t="s">
        <v>75</v>
      </c>
      <c r="Z48" s="73">
        <f>MATERIALES!E6</f>
        <v>5200</v>
      </c>
      <c r="AA48" s="74">
        <f>X48*Z48</f>
        <v>702</v>
      </c>
      <c r="AB48" s="67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</row>
    <row r="49" spans="1:111" ht="15" customHeight="1">
      <c r="A49" s="101" t="s">
        <v>111</v>
      </c>
      <c r="B49" s="75" t="s">
        <v>112</v>
      </c>
      <c r="C49" s="102">
        <v>0.125</v>
      </c>
      <c r="D49" s="103" t="s">
        <v>75</v>
      </c>
      <c r="E49" s="77">
        <f>MATERIALES!E4</f>
        <v>1982.4</v>
      </c>
      <c r="F49" s="78">
        <f>C49*E49</f>
        <v>247.8</v>
      </c>
      <c r="G49" s="96"/>
      <c r="H49" s="101" t="s">
        <v>111</v>
      </c>
      <c r="I49" s="75" t="s">
        <v>112</v>
      </c>
      <c r="J49" s="102">
        <v>0.1</v>
      </c>
      <c r="K49" s="103" t="s">
        <v>75</v>
      </c>
      <c r="L49" s="77">
        <f>MATERIALES!E4</f>
        <v>1982.4</v>
      </c>
      <c r="M49" s="78">
        <f>J49*L49</f>
        <v>198.24</v>
      </c>
      <c r="N49" s="96"/>
      <c r="O49" s="101" t="s">
        <v>111</v>
      </c>
      <c r="P49" s="75" t="s">
        <v>112</v>
      </c>
      <c r="Q49" s="102">
        <v>8.5000000000000006E-2</v>
      </c>
      <c r="R49" s="103" t="s">
        <v>75</v>
      </c>
      <c r="S49" s="77">
        <f>MATERIALES!E4</f>
        <v>1982.4</v>
      </c>
      <c r="T49" s="78">
        <f>Q49*S49</f>
        <v>168.50400000000002</v>
      </c>
      <c r="U49" s="96"/>
      <c r="V49" s="101" t="s">
        <v>111</v>
      </c>
      <c r="W49" s="75" t="s">
        <v>112</v>
      </c>
      <c r="X49" s="102">
        <v>7.4999999999999997E-2</v>
      </c>
      <c r="Y49" s="103" t="s">
        <v>75</v>
      </c>
      <c r="Z49" s="77">
        <f>MATERIALES!E4</f>
        <v>1982.4</v>
      </c>
      <c r="AA49" s="78">
        <f>X49*Z49</f>
        <v>148.68</v>
      </c>
      <c r="AB49" s="67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</row>
    <row r="50" spans="1:111" ht="15" customHeight="1">
      <c r="A50" s="101" t="s">
        <v>101</v>
      </c>
      <c r="B50" s="75" t="s">
        <v>102</v>
      </c>
      <c r="C50" s="102">
        <v>2.1</v>
      </c>
      <c r="D50" s="103" t="s">
        <v>75</v>
      </c>
      <c r="E50" s="77">
        <f>MATERIALES!E132</f>
        <v>1034.48</v>
      </c>
      <c r="F50" s="78">
        <f>C50*E50</f>
        <v>2172.4080000000004</v>
      </c>
      <c r="G50" s="96"/>
      <c r="H50" s="101" t="s">
        <v>101</v>
      </c>
      <c r="I50" s="75" t="s">
        <v>102</v>
      </c>
      <c r="J50" s="102">
        <v>2.2000000000000002</v>
      </c>
      <c r="K50" s="103" t="s">
        <v>75</v>
      </c>
      <c r="L50" s="77">
        <f>MATERIALES!E132</f>
        <v>1034.48</v>
      </c>
      <c r="M50" s="78">
        <f>J50*L50</f>
        <v>2275.8560000000002</v>
      </c>
      <c r="N50" s="96"/>
      <c r="O50" s="101" t="s">
        <v>101</v>
      </c>
      <c r="P50" s="75" t="s">
        <v>102</v>
      </c>
      <c r="Q50" s="102">
        <v>2.2999999999999998</v>
      </c>
      <c r="R50" s="103" t="s">
        <v>75</v>
      </c>
      <c r="S50" s="77">
        <f>MATERIALES!E132</f>
        <v>1034.48</v>
      </c>
      <c r="T50" s="78">
        <f>Q50*S50</f>
        <v>2379.3039999999996</v>
      </c>
      <c r="U50" s="96"/>
      <c r="V50" s="101" t="s">
        <v>101</v>
      </c>
      <c r="W50" s="75" t="s">
        <v>102</v>
      </c>
      <c r="X50" s="102">
        <v>2.4</v>
      </c>
      <c r="Y50" s="103" t="s">
        <v>75</v>
      </c>
      <c r="Z50" s="77">
        <f>MATERIALES!E132</f>
        <v>1034.48</v>
      </c>
      <c r="AA50" s="78">
        <f>X50*Z50</f>
        <v>2482.752</v>
      </c>
      <c r="AB50" s="67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</row>
    <row r="51" spans="1:111" ht="15" customHeight="1">
      <c r="A51" s="90" t="str">
        <f>MATERIALES!B15</f>
        <v>AGU-001</v>
      </c>
      <c r="B51" s="79" t="s">
        <v>78</v>
      </c>
      <c r="C51" s="91">
        <v>0.28000000000000003</v>
      </c>
      <c r="D51" s="92" t="s">
        <v>17</v>
      </c>
      <c r="E51" s="81">
        <f>MATERIALES!E15</f>
        <v>10</v>
      </c>
      <c r="F51" s="82">
        <f>C51*E51</f>
        <v>2.8000000000000003</v>
      </c>
      <c r="G51" s="96"/>
      <c r="H51" s="90" t="str">
        <f>MATERIALES!B15</f>
        <v>AGU-001</v>
      </c>
      <c r="I51" s="79" t="s">
        <v>78</v>
      </c>
      <c r="J51" s="91">
        <v>0.27800000000000002</v>
      </c>
      <c r="K51" s="92" t="s">
        <v>17</v>
      </c>
      <c r="L51" s="81">
        <f>MATERIALES!E15</f>
        <v>10</v>
      </c>
      <c r="M51" s="82">
        <f>J51*L51</f>
        <v>2.7800000000000002</v>
      </c>
      <c r="N51" s="96"/>
      <c r="O51" s="90" t="str">
        <f>MATERIALES!B15</f>
        <v>AGU-001</v>
      </c>
      <c r="P51" s="79" t="s">
        <v>78</v>
      </c>
      <c r="Q51" s="91">
        <v>0.27600000000000002</v>
      </c>
      <c r="R51" s="92" t="s">
        <v>17</v>
      </c>
      <c r="S51" s="81">
        <f>MATERIALES!E15</f>
        <v>10</v>
      </c>
      <c r="T51" s="82">
        <f>Q51*S51</f>
        <v>2.7600000000000002</v>
      </c>
      <c r="U51" s="96"/>
      <c r="V51" s="90" t="str">
        <f>MATERIALES!B15</f>
        <v>AGU-001</v>
      </c>
      <c r="W51" s="79" t="s">
        <v>78</v>
      </c>
      <c r="X51" s="91">
        <v>0.27400000000000002</v>
      </c>
      <c r="Y51" s="92" t="s">
        <v>17</v>
      </c>
      <c r="Z51" s="81">
        <f>MATERIALES!E15</f>
        <v>10</v>
      </c>
      <c r="AA51" s="82">
        <f>X51*Z51</f>
        <v>2.74</v>
      </c>
      <c r="AB51" s="67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</row>
    <row r="52" spans="1:111" ht="15" customHeight="1">
      <c r="A52" s="857" t="s">
        <v>79</v>
      </c>
      <c r="B52" s="858"/>
      <c r="C52" s="858"/>
      <c r="D52" s="858"/>
      <c r="E52" s="859"/>
      <c r="F52" s="83">
        <f>SUM(F48:F51)</f>
        <v>3827.0080000000007</v>
      </c>
      <c r="G52" s="107"/>
      <c r="H52" s="857" t="s">
        <v>79</v>
      </c>
      <c r="I52" s="858"/>
      <c r="J52" s="858"/>
      <c r="K52" s="858"/>
      <c r="L52" s="859"/>
      <c r="M52" s="83">
        <f>SUM(M48:M51)</f>
        <v>3620.8760000000007</v>
      </c>
      <c r="N52" s="96"/>
      <c r="O52" s="857" t="s">
        <v>79</v>
      </c>
      <c r="P52" s="858"/>
      <c r="Q52" s="858"/>
      <c r="R52" s="858"/>
      <c r="S52" s="859"/>
      <c r="T52" s="83">
        <f>SUM(T48:T51)</f>
        <v>3538.5679999999998</v>
      </c>
      <c r="U52" s="96"/>
      <c r="V52" s="857" t="s">
        <v>79</v>
      </c>
      <c r="W52" s="858"/>
      <c r="X52" s="858"/>
      <c r="Y52" s="858"/>
      <c r="Z52" s="859"/>
      <c r="AA52" s="83">
        <f>SUM(AA48:AA51)</f>
        <v>3336.1719999999996</v>
      </c>
      <c r="AB52" s="67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</row>
    <row r="53" spans="1:111" ht="15" customHeight="1">
      <c r="A53" s="84"/>
      <c r="B53" s="84"/>
      <c r="C53" s="84"/>
      <c r="D53" s="84"/>
      <c r="E53" s="84"/>
      <c r="F53" s="108"/>
      <c r="G53" s="109"/>
      <c r="H53" s="110"/>
      <c r="I53" s="84"/>
      <c r="J53" s="84"/>
      <c r="K53" s="84"/>
      <c r="L53" s="84"/>
      <c r="M53" s="84"/>
      <c r="N53" s="61"/>
      <c r="O53" s="84"/>
      <c r="P53" s="84"/>
      <c r="Q53" s="84"/>
      <c r="R53" s="84"/>
      <c r="S53" s="84"/>
      <c r="T53" s="84"/>
      <c r="U53" s="61"/>
      <c r="V53" s="84"/>
      <c r="W53" s="84"/>
      <c r="X53" s="84"/>
      <c r="Y53" s="84"/>
      <c r="Z53" s="84"/>
      <c r="AA53" s="84"/>
      <c r="AB53" s="61"/>
      <c r="AC53" s="63"/>
      <c r="AD53" s="63"/>
      <c r="AE53" s="63"/>
      <c r="AF53" s="63"/>
      <c r="AG53" s="63"/>
      <c r="AH53" s="63"/>
      <c r="AI53" s="61"/>
      <c r="AJ53" s="63"/>
      <c r="AK53" s="63"/>
      <c r="AL53" s="63"/>
      <c r="AM53" s="63"/>
      <c r="AN53" s="63"/>
      <c r="AO53" s="63"/>
      <c r="AP53" s="61"/>
      <c r="AQ53" s="63"/>
      <c r="AR53" s="63"/>
      <c r="AS53" s="63"/>
      <c r="AT53" s="63"/>
      <c r="AU53" s="63"/>
      <c r="AV53" s="63"/>
      <c r="AW53" s="61"/>
      <c r="AX53" s="63"/>
      <c r="AY53" s="63"/>
      <c r="AZ53" s="63"/>
      <c r="BA53" s="63"/>
      <c r="BB53" s="63"/>
      <c r="BC53" s="63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</row>
    <row r="54" spans="1:111" ht="15" customHeight="1">
      <c r="A54" s="64" t="s">
        <v>113</v>
      </c>
      <c r="B54" s="848" t="s">
        <v>114</v>
      </c>
      <c r="C54" s="847"/>
      <c r="D54" s="847"/>
      <c r="E54" s="849"/>
      <c r="F54" s="66" t="s">
        <v>17</v>
      </c>
      <c r="G54" s="111"/>
      <c r="H54" s="64" t="s">
        <v>115</v>
      </c>
      <c r="I54" s="848" t="s">
        <v>116</v>
      </c>
      <c r="J54" s="847"/>
      <c r="K54" s="847"/>
      <c r="L54" s="849"/>
      <c r="M54" s="66" t="s">
        <v>17</v>
      </c>
      <c r="N54" s="96"/>
      <c r="O54" s="64" t="s">
        <v>117</v>
      </c>
      <c r="P54" s="848" t="s">
        <v>118</v>
      </c>
      <c r="Q54" s="847"/>
      <c r="R54" s="847"/>
      <c r="S54" s="849"/>
      <c r="T54" s="66" t="s">
        <v>17</v>
      </c>
      <c r="U54" s="96"/>
      <c r="V54" s="64" t="s">
        <v>119</v>
      </c>
      <c r="W54" s="848" t="s">
        <v>120</v>
      </c>
      <c r="X54" s="847"/>
      <c r="Y54" s="847"/>
      <c r="Z54" s="849"/>
      <c r="AA54" s="66" t="s">
        <v>17</v>
      </c>
      <c r="AB54" s="96"/>
      <c r="AC54" s="64" t="s">
        <v>121</v>
      </c>
      <c r="AD54" s="848" t="s">
        <v>122</v>
      </c>
      <c r="AE54" s="847"/>
      <c r="AF54" s="847"/>
      <c r="AG54" s="849"/>
      <c r="AH54" s="66" t="s">
        <v>17</v>
      </c>
      <c r="AI54" s="96"/>
      <c r="AJ54" s="64" t="s">
        <v>123</v>
      </c>
      <c r="AK54" s="848" t="s">
        <v>124</v>
      </c>
      <c r="AL54" s="847"/>
      <c r="AM54" s="847"/>
      <c r="AN54" s="849"/>
      <c r="AO54" s="66" t="s">
        <v>17</v>
      </c>
      <c r="AP54" s="96"/>
      <c r="AQ54" s="64" t="s">
        <v>125</v>
      </c>
      <c r="AR54" s="848" t="s">
        <v>126</v>
      </c>
      <c r="AS54" s="847"/>
      <c r="AT54" s="847"/>
      <c r="AU54" s="849"/>
      <c r="AV54" s="66" t="s">
        <v>17</v>
      </c>
      <c r="AW54" s="96"/>
      <c r="AX54" s="64" t="s">
        <v>127</v>
      </c>
      <c r="AY54" s="848" t="s">
        <v>128</v>
      </c>
      <c r="AZ54" s="847"/>
      <c r="BA54" s="847"/>
      <c r="BB54" s="849"/>
      <c r="BC54" s="66" t="s">
        <v>17</v>
      </c>
      <c r="BD54" s="67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</row>
    <row r="55" spans="1:111" ht="15" customHeight="1">
      <c r="A55" s="112" t="s">
        <v>1</v>
      </c>
      <c r="B55" s="113" t="s">
        <v>2</v>
      </c>
      <c r="C55" s="113" t="s">
        <v>72</v>
      </c>
      <c r="D55" s="113" t="s">
        <v>3</v>
      </c>
      <c r="E55" s="113" t="s">
        <v>10</v>
      </c>
      <c r="F55" s="114" t="s">
        <v>11</v>
      </c>
      <c r="G55" s="96"/>
      <c r="H55" s="112" t="s">
        <v>1</v>
      </c>
      <c r="I55" s="113" t="s">
        <v>2</v>
      </c>
      <c r="J55" s="113" t="s">
        <v>72</v>
      </c>
      <c r="K55" s="113" t="s">
        <v>3</v>
      </c>
      <c r="L55" s="113" t="s">
        <v>10</v>
      </c>
      <c r="M55" s="114" t="s">
        <v>11</v>
      </c>
      <c r="N55" s="96"/>
      <c r="O55" s="112" t="s">
        <v>1</v>
      </c>
      <c r="P55" s="113" t="s">
        <v>2</v>
      </c>
      <c r="Q55" s="113" t="s">
        <v>72</v>
      </c>
      <c r="R55" s="113" t="s">
        <v>3</v>
      </c>
      <c r="S55" s="113" t="s">
        <v>10</v>
      </c>
      <c r="T55" s="114" t="s">
        <v>11</v>
      </c>
      <c r="U55" s="96"/>
      <c r="V55" s="112" t="s">
        <v>1</v>
      </c>
      <c r="W55" s="113" t="s">
        <v>2</v>
      </c>
      <c r="X55" s="113" t="s">
        <v>72</v>
      </c>
      <c r="Y55" s="113" t="s">
        <v>3</v>
      </c>
      <c r="Z55" s="113" t="s">
        <v>10</v>
      </c>
      <c r="AA55" s="114" t="s">
        <v>11</v>
      </c>
      <c r="AB55" s="96"/>
      <c r="AC55" s="112" t="s">
        <v>1</v>
      </c>
      <c r="AD55" s="113" t="s">
        <v>2</v>
      </c>
      <c r="AE55" s="113" t="s">
        <v>72</v>
      </c>
      <c r="AF55" s="113" t="s">
        <v>3</v>
      </c>
      <c r="AG55" s="113" t="s">
        <v>10</v>
      </c>
      <c r="AH55" s="114" t="s">
        <v>11</v>
      </c>
      <c r="AI55" s="96"/>
      <c r="AJ55" s="112" t="s">
        <v>1</v>
      </c>
      <c r="AK55" s="113" t="s">
        <v>2</v>
      </c>
      <c r="AL55" s="113" t="s">
        <v>72</v>
      </c>
      <c r="AM55" s="113" t="s">
        <v>3</v>
      </c>
      <c r="AN55" s="113" t="s">
        <v>10</v>
      </c>
      <c r="AO55" s="114" t="s">
        <v>11</v>
      </c>
      <c r="AP55" s="96"/>
      <c r="AQ55" s="112" t="s">
        <v>1</v>
      </c>
      <c r="AR55" s="113" t="s">
        <v>2</v>
      </c>
      <c r="AS55" s="113" t="s">
        <v>72</v>
      </c>
      <c r="AT55" s="113" t="s">
        <v>3</v>
      </c>
      <c r="AU55" s="113" t="s">
        <v>10</v>
      </c>
      <c r="AV55" s="114" t="s">
        <v>11</v>
      </c>
      <c r="AW55" s="96"/>
      <c r="AX55" s="112" t="s">
        <v>1</v>
      </c>
      <c r="AY55" s="113" t="s">
        <v>2</v>
      </c>
      <c r="AZ55" s="113" t="s">
        <v>72</v>
      </c>
      <c r="BA55" s="113" t="s">
        <v>3</v>
      </c>
      <c r="BB55" s="113" t="s">
        <v>10</v>
      </c>
      <c r="BC55" s="114" t="s">
        <v>11</v>
      </c>
      <c r="BD55" s="67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</row>
    <row r="56" spans="1:111" ht="15" customHeight="1">
      <c r="A56" s="88" t="s">
        <v>111</v>
      </c>
      <c r="B56" s="71" t="s">
        <v>112</v>
      </c>
      <c r="C56" s="100">
        <v>0.25</v>
      </c>
      <c r="D56" s="89" t="s">
        <v>75</v>
      </c>
      <c r="E56" s="73">
        <f>MATERIALES!E4</f>
        <v>1982.4</v>
      </c>
      <c r="F56" s="74">
        <f>C56*E56</f>
        <v>495.6</v>
      </c>
      <c r="G56" s="96"/>
      <c r="H56" s="88" t="s">
        <v>111</v>
      </c>
      <c r="I56" s="71" t="s">
        <v>112</v>
      </c>
      <c r="J56" s="100">
        <v>0.2</v>
      </c>
      <c r="K56" s="89" t="s">
        <v>75</v>
      </c>
      <c r="L56" s="73">
        <f>MATERIALES!E4</f>
        <v>1982.4</v>
      </c>
      <c r="M56" s="74">
        <f>J56*L56</f>
        <v>396.48</v>
      </c>
      <c r="N56" s="96"/>
      <c r="O56" s="88" t="s">
        <v>111</v>
      </c>
      <c r="P56" s="71" t="s">
        <v>112</v>
      </c>
      <c r="Q56" s="100">
        <v>0.17</v>
      </c>
      <c r="R56" s="89" t="s">
        <v>75</v>
      </c>
      <c r="S56" s="73">
        <f>MATERIALES!E4</f>
        <v>1982.4</v>
      </c>
      <c r="T56" s="74">
        <f>Q56*S56</f>
        <v>337.00800000000004</v>
      </c>
      <c r="U56" s="96"/>
      <c r="V56" s="88" t="s">
        <v>111</v>
      </c>
      <c r="W56" s="71" t="s">
        <v>112</v>
      </c>
      <c r="X56" s="100">
        <v>0.14499999999999999</v>
      </c>
      <c r="Y56" s="89" t="s">
        <v>75</v>
      </c>
      <c r="Z56" s="73">
        <f>MATERIALES!E4</f>
        <v>1982.4</v>
      </c>
      <c r="AA56" s="74">
        <f>X56*Z56</f>
        <v>287.44799999999998</v>
      </c>
      <c r="AB56" s="96"/>
      <c r="AC56" s="88" t="s">
        <v>111</v>
      </c>
      <c r="AD56" s="71" t="s">
        <v>112</v>
      </c>
      <c r="AE56" s="100">
        <v>0.125</v>
      </c>
      <c r="AF56" s="89" t="s">
        <v>75</v>
      </c>
      <c r="AG56" s="73">
        <f>MATERIALES!E4</f>
        <v>1982.4</v>
      </c>
      <c r="AH56" s="74">
        <f>AE56*AG56</f>
        <v>247.8</v>
      </c>
      <c r="AI56" s="96"/>
      <c r="AJ56" s="88" t="s">
        <v>111</v>
      </c>
      <c r="AK56" s="71" t="s">
        <v>112</v>
      </c>
      <c r="AL56" s="100">
        <v>0.11</v>
      </c>
      <c r="AM56" s="89" t="s">
        <v>75</v>
      </c>
      <c r="AN56" s="73">
        <f>MATERIALES!E4</f>
        <v>1982.4</v>
      </c>
      <c r="AO56" s="74">
        <f>AL56*AN56</f>
        <v>218.06400000000002</v>
      </c>
      <c r="AP56" s="96"/>
      <c r="AQ56" s="88" t="s">
        <v>111</v>
      </c>
      <c r="AR56" s="71" t="s">
        <v>112</v>
      </c>
      <c r="AS56" s="100">
        <v>0.1</v>
      </c>
      <c r="AT56" s="89" t="s">
        <v>75</v>
      </c>
      <c r="AU56" s="73">
        <f>MATERIALES!E4</f>
        <v>1982.4</v>
      </c>
      <c r="AV56" s="74">
        <f>AS56*AU56</f>
        <v>198.24</v>
      </c>
      <c r="AW56" s="96"/>
      <c r="AX56" s="88" t="s">
        <v>111</v>
      </c>
      <c r="AY56" s="71" t="s">
        <v>112</v>
      </c>
      <c r="AZ56" s="100">
        <v>0.09</v>
      </c>
      <c r="BA56" s="89" t="s">
        <v>75</v>
      </c>
      <c r="BB56" s="73">
        <f>MATERIALES!E4</f>
        <v>1982.4</v>
      </c>
      <c r="BC56" s="74">
        <f>AZ56*BB56</f>
        <v>178.416</v>
      </c>
      <c r="BD56" s="67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</row>
    <row r="57" spans="1:111" ht="15" customHeight="1">
      <c r="A57" s="101" t="str">
        <f>MATERIALES!B8</f>
        <v>ARE-001</v>
      </c>
      <c r="B57" s="75" t="s">
        <v>129</v>
      </c>
      <c r="C57" s="102">
        <v>1</v>
      </c>
      <c r="D57" s="103" t="s">
        <v>17</v>
      </c>
      <c r="E57" s="77">
        <f>MATERIALES!E8</f>
        <v>189</v>
      </c>
      <c r="F57" s="78">
        <f>C57*E57</f>
        <v>189</v>
      </c>
      <c r="G57" s="96"/>
      <c r="H57" s="101" t="str">
        <f>MATERIALES!B8</f>
        <v>ARE-001</v>
      </c>
      <c r="I57" s="75" t="s">
        <v>129</v>
      </c>
      <c r="J57" s="102">
        <v>1.07</v>
      </c>
      <c r="K57" s="103" t="s">
        <v>17</v>
      </c>
      <c r="L57" s="77">
        <f>MATERIALES!E8</f>
        <v>189</v>
      </c>
      <c r="M57" s="78">
        <f>J57*L57</f>
        <v>202.23000000000002</v>
      </c>
      <c r="N57" s="96"/>
      <c r="O57" s="101" t="s">
        <v>76</v>
      </c>
      <c r="P57" s="75" t="s">
        <v>129</v>
      </c>
      <c r="Q57" s="102">
        <v>1.1299999999999999</v>
      </c>
      <c r="R57" s="103" t="s">
        <v>17</v>
      </c>
      <c r="S57" s="77">
        <f>MATERIALES!E8</f>
        <v>189</v>
      </c>
      <c r="T57" s="78">
        <f>Q57*S57</f>
        <v>213.57</v>
      </c>
      <c r="U57" s="96"/>
      <c r="V57" s="101" t="s">
        <v>76</v>
      </c>
      <c r="W57" s="75" t="s">
        <v>129</v>
      </c>
      <c r="X57" s="102">
        <v>1.18</v>
      </c>
      <c r="Y57" s="103" t="s">
        <v>17</v>
      </c>
      <c r="Z57" s="77">
        <f>MATERIALES!E8</f>
        <v>189</v>
      </c>
      <c r="AA57" s="78">
        <f>X57*Z57</f>
        <v>223.01999999999998</v>
      </c>
      <c r="AB57" s="96"/>
      <c r="AC57" s="101" t="s">
        <v>76</v>
      </c>
      <c r="AD57" s="75" t="s">
        <v>129</v>
      </c>
      <c r="AE57" s="102">
        <v>1.22</v>
      </c>
      <c r="AF57" s="103" t="s">
        <v>17</v>
      </c>
      <c r="AG57" s="77">
        <f>MATERIALES!E8</f>
        <v>189</v>
      </c>
      <c r="AH57" s="78">
        <f>AE57*AG57</f>
        <v>230.57999999999998</v>
      </c>
      <c r="AI57" s="96"/>
      <c r="AJ57" s="101" t="s">
        <v>76</v>
      </c>
      <c r="AK57" s="75" t="s">
        <v>129</v>
      </c>
      <c r="AL57" s="102">
        <v>1.25</v>
      </c>
      <c r="AM57" s="103" t="s">
        <v>17</v>
      </c>
      <c r="AN57" s="77">
        <f>MATERIALES!E8</f>
        <v>189</v>
      </c>
      <c r="AO57" s="78">
        <f>AL57*AN57</f>
        <v>236.25</v>
      </c>
      <c r="AP57" s="96"/>
      <c r="AQ57" s="101" t="s">
        <v>76</v>
      </c>
      <c r="AR57" s="75" t="s">
        <v>129</v>
      </c>
      <c r="AS57" s="102">
        <v>1.27</v>
      </c>
      <c r="AT57" s="103" t="s">
        <v>17</v>
      </c>
      <c r="AU57" s="77">
        <f>MATERIALES!E8</f>
        <v>189</v>
      </c>
      <c r="AV57" s="78">
        <f>AS57*AU57</f>
        <v>240.03</v>
      </c>
      <c r="AW57" s="96"/>
      <c r="AX57" s="101" t="s">
        <v>76</v>
      </c>
      <c r="AY57" s="75" t="s">
        <v>129</v>
      </c>
      <c r="AZ57" s="102">
        <v>1.2849999999999999</v>
      </c>
      <c r="BA57" s="103" t="s">
        <v>17</v>
      </c>
      <c r="BB57" s="77">
        <f>MATERIALES!E8</f>
        <v>189</v>
      </c>
      <c r="BC57" s="78">
        <f>AZ57*BB57</f>
        <v>242.86499999999998</v>
      </c>
      <c r="BD57" s="67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</row>
    <row r="58" spans="1:111" ht="15" customHeight="1">
      <c r="A58" s="90" t="str">
        <f>MATERIALES!B15</f>
        <v>AGU-001</v>
      </c>
      <c r="B58" s="79" t="s">
        <v>78</v>
      </c>
      <c r="C58" s="91">
        <v>0.27</v>
      </c>
      <c r="D58" s="92" t="s">
        <v>17</v>
      </c>
      <c r="E58" s="81">
        <f>MATERIALES!E15</f>
        <v>10</v>
      </c>
      <c r="F58" s="82">
        <f>C58*E58</f>
        <v>2.7</v>
      </c>
      <c r="G58" s="96"/>
      <c r="H58" s="90" t="str">
        <f>MATERIALES!B15</f>
        <v>AGU-001</v>
      </c>
      <c r="I58" s="79" t="s">
        <v>78</v>
      </c>
      <c r="J58" s="91">
        <v>0.26</v>
      </c>
      <c r="K58" s="92" t="s">
        <v>17</v>
      </c>
      <c r="L58" s="81">
        <f>MATERIALES!E15</f>
        <v>10</v>
      </c>
      <c r="M58" s="82">
        <f>J58*L58</f>
        <v>2.6</v>
      </c>
      <c r="N58" s="96"/>
      <c r="O58" s="90" t="str">
        <f>MATERIALES!B15</f>
        <v>AGU-001</v>
      </c>
      <c r="P58" s="79" t="s">
        <v>78</v>
      </c>
      <c r="Q58" s="91">
        <v>0.255</v>
      </c>
      <c r="R58" s="92" t="s">
        <v>17</v>
      </c>
      <c r="S58" s="81">
        <f>MATERIALES!E15</f>
        <v>10</v>
      </c>
      <c r="T58" s="82">
        <f>Q58*S58</f>
        <v>2.5499999999999998</v>
      </c>
      <c r="U58" s="96"/>
      <c r="V58" s="90" t="str">
        <f>MATERIALES!B15</f>
        <v>AGU-001</v>
      </c>
      <c r="W58" s="79" t="s">
        <v>78</v>
      </c>
      <c r="X58" s="91">
        <v>0.25</v>
      </c>
      <c r="Y58" s="92" t="s">
        <v>17</v>
      </c>
      <c r="Z58" s="81">
        <f>MATERIALES!E15</f>
        <v>10</v>
      </c>
      <c r="AA58" s="82">
        <f>X58*Z58</f>
        <v>2.5</v>
      </c>
      <c r="AB58" s="96"/>
      <c r="AC58" s="90" t="str">
        <f>MATERIALES!B15</f>
        <v>AGU-001</v>
      </c>
      <c r="AD58" s="79" t="s">
        <v>78</v>
      </c>
      <c r="AE58" s="91">
        <v>0.245</v>
      </c>
      <c r="AF58" s="92" t="s">
        <v>17</v>
      </c>
      <c r="AG58" s="81">
        <f>MATERIALES!E15</f>
        <v>10</v>
      </c>
      <c r="AH58" s="82">
        <f>AE58*AG58</f>
        <v>2.4500000000000002</v>
      </c>
      <c r="AI58" s="96"/>
      <c r="AJ58" s="90" t="str">
        <f>MATERIALES!B15</f>
        <v>AGU-001</v>
      </c>
      <c r="AK58" s="79" t="s">
        <v>78</v>
      </c>
      <c r="AL58" s="91">
        <v>0.24</v>
      </c>
      <c r="AM58" s="92" t="s">
        <v>17</v>
      </c>
      <c r="AN58" s="81">
        <f>MATERIALES!E15</f>
        <v>10</v>
      </c>
      <c r="AO58" s="82">
        <f>AL58*AN58</f>
        <v>2.4</v>
      </c>
      <c r="AP58" s="96"/>
      <c r="AQ58" s="90" t="str">
        <f>MATERIALES!B15</f>
        <v>AGU-001</v>
      </c>
      <c r="AR58" s="79" t="s">
        <v>78</v>
      </c>
      <c r="AS58" s="91">
        <v>0.23499999999999999</v>
      </c>
      <c r="AT58" s="92" t="s">
        <v>17</v>
      </c>
      <c r="AU58" s="81">
        <f>MATERIALES!E15</f>
        <v>10</v>
      </c>
      <c r="AV58" s="82">
        <f>AS58*AU58</f>
        <v>2.3499999999999996</v>
      </c>
      <c r="AW58" s="96"/>
      <c r="AX58" s="90" t="str">
        <f>MATERIALES!B15</f>
        <v>AGU-001</v>
      </c>
      <c r="AY58" s="79" t="s">
        <v>78</v>
      </c>
      <c r="AZ58" s="91">
        <v>0.23</v>
      </c>
      <c r="BA58" s="92" t="s">
        <v>17</v>
      </c>
      <c r="BB58" s="81">
        <f>MATERIALES!E15</f>
        <v>10</v>
      </c>
      <c r="BC58" s="82">
        <f>AZ58*BB58</f>
        <v>2.3000000000000003</v>
      </c>
      <c r="BD58" s="67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</row>
    <row r="59" spans="1:111" ht="15" customHeight="1">
      <c r="A59" s="860" t="s">
        <v>79</v>
      </c>
      <c r="B59" s="861"/>
      <c r="C59" s="861"/>
      <c r="D59" s="861"/>
      <c r="E59" s="862"/>
      <c r="F59" s="83">
        <f>SUM(F56:F58)</f>
        <v>687.30000000000007</v>
      </c>
      <c r="G59" s="96"/>
      <c r="H59" s="860" t="s">
        <v>79</v>
      </c>
      <c r="I59" s="861"/>
      <c r="J59" s="861"/>
      <c r="K59" s="861"/>
      <c r="L59" s="862"/>
      <c r="M59" s="83">
        <f>SUM(M56:M58)</f>
        <v>601.31000000000006</v>
      </c>
      <c r="N59" s="96"/>
      <c r="O59" s="860" t="s">
        <v>79</v>
      </c>
      <c r="P59" s="861"/>
      <c r="Q59" s="861"/>
      <c r="R59" s="861"/>
      <c r="S59" s="862"/>
      <c r="T59" s="83">
        <f>SUM(T56:T58)</f>
        <v>553.12799999999993</v>
      </c>
      <c r="U59" s="96"/>
      <c r="V59" s="860" t="s">
        <v>79</v>
      </c>
      <c r="W59" s="861"/>
      <c r="X59" s="861"/>
      <c r="Y59" s="861"/>
      <c r="Z59" s="862"/>
      <c r="AA59" s="83">
        <f>SUM(AA56:AA58)</f>
        <v>512.96799999999996</v>
      </c>
      <c r="AB59" s="96"/>
      <c r="AC59" s="860" t="s">
        <v>79</v>
      </c>
      <c r="AD59" s="861"/>
      <c r="AE59" s="861"/>
      <c r="AF59" s="861"/>
      <c r="AG59" s="862"/>
      <c r="AH59" s="83">
        <f>SUM(AH56:AH58)</f>
        <v>480.83</v>
      </c>
      <c r="AI59" s="96"/>
      <c r="AJ59" s="860" t="s">
        <v>79</v>
      </c>
      <c r="AK59" s="861"/>
      <c r="AL59" s="861"/>
      <c r="AM59" s="861"/>
      <c r="AN59" s="862"/>
      <c r="AO59" s="83">
        <f>SUM(AO56:AO58)</f>
        <v>456.714</v>
      </c>
      <c r="AP59" s="96"/>
      <c r="AQ59" s="860" t="s">
        <v>79</v>
      </c>
      <c r="AR59" s="861"/>
      <c r="AS59" s="861"/>
      <c r="AT59" s="861"/>
      <c r="AU59" s="862"/>
      <c r="AV59" s="83">
        <f>SUM(AV56:AV58)</f>
        <v>440.62</v>
      </c>
      <c r="AW59" s="96"/>
      <c r="AX59" s="860" t="s">
        <v>79</v>
      </c>
      <c r="AY59" s="861"/>
      <c r="AZ59" s="861"/>
      <c r="BA59" s="861"/>
      <c r="BB59" s="862"/>
      <c r="BC59" s="83">
        <f>SUM(BC56:BC58)</f>
        <v>423.58099999999996</v>
      </c>
      <c r="BD59" s="67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</row>
    <row r="60" spans="1:111" ht="15" customHeight="1">
      <c r="A60" s="84"/>
      <c r="B60" s="84"/>
      <c r="C60" s="84"/>
      <c r="D60" s="84"/>
      <c r="E60" s="84"/>
      <c r="F60" s="84"/>
      <c r="G60" s="61"/>
      <c r="H60" s="84"/>
      <c r="I60" s="84"/>
      <c r="J60" s="84"/>
      <c r="K60" s="84"/>
      <c r="L60" s="84"/>
      <c r="M60" s="84"/>
      <c r="N60" s="61"/>
      <c r="O60" s="84"/>
      <c r="P60" s="84"/>
      <c r="Q60" s="84"/>
      <c r="R60" s="84"/>
      <c r="S60" s="84"/>
      <c r="T60" s="84"/>
      <c r="U60" s="61"/>
      <c r="V60" s="84"/>
      <c r="W60" s="84"/>
      <c r="X60" s="84"/>
      <c r="Y60" s="84"/>
      <c r="Z60" s="84"/>
      <c r="AA60" s="84"/>
      <c r="AB60" s="61"/>
      <c r="AC60" s="84"/>
      <c r="AD60" s="84"/>
      <c r="AE60" s="84"/>
      <c r="AF60" s="84"/>
      <c r="AG60" s="84"/>
      <c r="AH60" s="84"/>
      <c r="AI60" s="61"/>
      <c r="AJ60" s="84"/>
      <c r="AK60" s="84"/>
      <c r="AL60" s="84"/>
      <c r="AM60" s="84"/>
      <c r="AN60" s="84"/>
      <c r="AO60" s="84"/>
      <c r="AP60" s="61"/>
      <c r="AQ60" s="84"/>
      <c r="AR60" s="84"/>
      <c r="AS60" s="84"/>
      <c r="AT60" s="84"/>
      <c r="AU60" s="84"/>
      <c r="AV60" s="84"/>
      <c r="AW60" s="61"/>
      <c r="AX60" s="115"/>
      <c r="AY60" s="115"/>
      <c r="AZ60" s="115"/>
      <c r="BA60" s="115"/>
      <c r="BB60" s="115"/>
      <c r="BC60" s="115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</row>
    <row r="61" spans="1:111" ht="15" customHeight="1">
      <c r="A61" s="64" t="s">
        <v>130</v>
      </c>
      <c r="B61" s="848" t="s">
        <v>131</v>
      </c>
      <c r="C61" s="847"/>
      <c r="D61" s="847"/>
      <c r="E61" s="849"/>
      <c r="F61" s="66" t="s">
        <v>17</v>
      </c>
      <c r="G61" s="96"/>
      <c r="H61" s="116" t="s">
        <v>132</v>
      </c>
      <c r="I61" s="846" t="s">
        <v>133</v>
      </c>
      <c r="J61" s="847"/>
      <c r="K61" s="847"/>
      <c r="L61" s="847"/>
      <c r="M61" s="117" t="s">
        <v>17</v>
      </c>
      <c r="N61" s="96"/>
      <c r="O61" s="116" t="s">
        <v>134</v>
      </c>
      <c r="P61" s="846" t="s">
        <v>135</v>
      </c>
      <c r="Q61" s="847"/>
      <c r="R61" s="847"/>
      <c r="S61" s="847"/>
      <c r="T61" s="117" t="s">
        <v>17</v>
      </c>
      <c r="U61" s="96"/>
      <c r="V61" s="116" t="s">
        <v>136</v>
      </c>
      <c r="W61" s="846" t="s">
        <v>137</v>
      </c>
      <c r="X61" s="847"/>
      <c r="Y61" s="847"/>
      <c r="Z61" s="847"/>
      <c r="AA61" s="117" t="s">
        <v>17</v>
      </c>
      <c r="AB61" s="96"/>
      <c r="AC61" s="116" t="s">
        <v>138</v>
      </c>
      <c r="AD61" s="846" t="s">
        <v>139</v>
      </c>
      <c r="AE61" s="847"/>
      <c r="AF61" s="847"/>
      <c r="AG61" s="847"/>
      <c r="AH61" s="117" t="s">
        <v>17</v>
      </c>
      <c r="AI61" s="96"/>
      <c r="AJ61" s="116" t="s">
        <v>140</v>
      </c>
      <c r="AK61" s="846" t="s">
        <v>141</v>
      </c>
      <c r="AL61" s="847"/>
      <c r="AM61" s="847"/>
      <c r="AN61" s="847"/>
      <c r="AO61" s="117" t="s">
        <v>17</v>
      </c>
      <c r="AP61" s="96"/>
      <c r="AQ61" s="116" t="s">
        <v>142</v>
      </c>
      <c r="AR61" s="846" t="s">
        <v>143</v>
      </c>
      <c r="AS61" s="847"/>
      <c r="AT61" s="847"/>
      <c r="AU61" s="847"/>
      <c r="AV61" s="117" t="s">
        <v>17</v>
      </c>
      <c r="AW61" s="67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</row>
    <row r="62" spans="1:111" ht="15" customHeight="1">
      <c r="A62" s="118" t="s">
        <v>1</v>
      </c>
      <c r="B62" s="119" t="s">
        <v>2</v>
      </c>
      <c r="C62" s="119" t="s">
        <v>72</v>
      </c>
      <c r="D62" s="119" t="s">
        <v>3</v>
      </c>
      <c r="E62" s="119" t="s">
        <v>10</v>
      </c>
      <c r="F62" s="120" t="s">
        <v>11</v>
      </c>
      <c r="G62" s="96"/>
      <c r="H62" s="118" t="s">
        <v>1</v>
      </c>
      <c r="I62" s="119" t="s">
        <v>2</v>
      </c>
      <c r="J62" s="119" t="s">
        <v>72</v>
      </c>
      <c r="K62" s="119" t="s">
        <v>3</v>
      </c>
      <c r="L62" s="119" t="s">
        <v>10</v>
      </c>
      <c r="M62" s="120" t="s">
        <v>11</v>
      </c>
      <c r="N62" s="96"/>
      <c r="O62" s="118" t="s">
        <v>1</v>
      </c>
      <c r="P62" s="119" t="s">
        <v>2</v>
      </c>
      <c r="Q62" s="119" t="s">
        <v>72</v>
      </c>
      <c r="R62" s="119" t="s">
        <v>3</v>
      </c>
      <c r="S62" s="119" t="s">
        <v>10</v>
      </c>
      <c r="T62" s="120" t="s">
        <v>11</v>
      </c>
      <c r="U62" s="96"/>
      <c r="V62" s="118" t="s">
        <v>1</v>
      </c>
      <c r="W62" s="119" t="s">
        <v>2</v>
      </c>
      <c r="X62" s="119" t="s">
        <v>72</v>
      </c>
      <c r="Y62" s="119" t="s">
        <v>3</v>
      </c>
      <c r="Z62" s="119" t="s">
        <v>10</v>
      </c>
      <c r="AA62" s="120" t="s">
        <v>11</v>
      </c>
      <c r="AB62" s="96"/>
      <c r="AC62" s="118" t="s">
        <v>1</v>
      </c>
      <c r="AD62" s="119" t="s">
        <v>2</v>
      </c>
      <c r="AE62" s="119" t="s">
        <v>72</v>
      </c>
      <c r="AF62" s="119" t="s">
        <v>3</v>
      </c>
      <c r="AG62" s="119" t="s">
        <v>10</v>
      </c>
      <c r="AH62" s="120" t="s">
        <v>11</v>
      </c>
      <c r="AI62" s="96"/>
      <c r="AJ62" s="118" t="s">
        <v>1</v>
      </c>
      <c r="AK62" s="119" t="s">
        <v>2</v>
      </c>
      <c r="AL62" s="119" t="s">
        <v>72</v>
      </c>
      <c r="AM62" s="119" t="s">
        <v>3</v>
      </c>
      <c r="AN62" s="119" t="s">
        <v>10</v>
      </c>
      <c r="AO62" s="120" t="s">
        <v>11</v>
      </c>
      <c r="AP62" s="96"/>
      <c r="AQ62" s="118" t="s">
        <v>1</v>
      </c>
      <c r="AR62" s="119" t="s">
        <v>2</v>
      </c>
      <c r="AS62" s="119" t="s">
        <v>72</v>
      </c>
      <c r="AT62" s="119" t="s">
        <v>3</v>
      </c>
      <c r="AU62" s="119" t="s">
        <v>10</v>
      </c>
      <c r="AV62" s="120" t="s">
        <v>11</v>
      </c>
      <c r="AW62" s="67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</row>
    <row r="63" spans="1:111" ht="15" customHeight="1">
      <c r="A63" s="88" t="str">
        <f>MATERIALES!B5</f>
        <v>CEM-001</v>
      </c>
      <c r="B63" s="71" t="s">
        <v>144</v>
      </c>
      <c r="C63" s="100">
        <v>0.6</v>
      </c>
      <c r="D63" s="71" t="s">
        <v>75</v>
      </c>
      <c r="E63" s="73">
        <f>MATERIALES!E5</f>
        <v>3500</v>
      </c>
      <c r="F63" s="74">
        <f>C63*E63</f>
        <v>2100</v>
      </c>
      <c r="G63" s="96"/>
      <c r="H63" s="88" t="str">
        <f>MATERIALES!B5</f>
        <v>CEM-001</v>
      </c>
      <c r="I63" s="71" t="s">
        <v>144</v>
      </c>
      <c r="J63" s="100">
        <v>0.51</v>
      </c>
      <c r="K63" s="71" t="s">
        <v>75</v>
      </c>
      <c r="L63" s="73">
        <f>MATERIALES!E5</f>
        <v>3500</v>
      </c>
      <c r="M63" s="74">
        <f>J63*L63</f>
        <v>1785</v>
      </c>
      <c r="N63" s="96"/>
      <c r="O63" s="88" t="str">
        <f>MATERIALES!B5</f>
        <v>CEM-001</v>
      </c>
      <c r="P63" s="71" t="s">
        <v>144</v>
      </c>
      <c r="Q63" s="100">
        <v>0.43</v>
      </c>
      <c r="R63" s="71" t="s">
        <v>75</v>
      </c>
      <c r="S63" s="73">
        <f>MATERIALES!E5</f>
        <v>3500</v>
      </c>
      <c r="T63" s="74">
        <f>Q63*S63</f>
        <v>1505</v>
      </c>
      <c r="U63" s="96"/>
      <c r="V63" s="88" t="str">
        <f>MATERIALES!B5</f>
        <v>CEM-001</v>
      </c>
      <c r="W63" s="71" t="s">
        <v>144</v>
      </c>
      <c r="X63" s="100">
        <v>0.36</v>
      </c>
      <c r="Y63" s="71" t="s">
        <v>75</v>
      </c>
      <c r="Z63" s="73">
        <f>MATERIALES!E5</f>
        <v>3500</v>
      </c>
      <c r="AA63" s="74">
        <f>X63*Z63</f>
        <v>1260</v>
      </c>
      <c r="AB63" s="96"/>
      <c r="AC63" s="88" t="str">
        <f>MATERIALES!B5</f>
        <v>CEM-001</v>
      </c>
      <c r="AD63" s="71" t="s">
        <v>144</v>
      </c>
      <c r="AE63" s="100">
        <v>0.3</v>
      </c>
      <c r="AF63" s="71" t="s">
        <v>75</v>
      </c>
      <c r="AG63" s="73">
        <f>MATERIALES!E5</f>
        <v>3500</v>
      </c>
      <c r="AH63" s="74">
        <f>AE63*AG63</f>
        <v>1050</v>
      </c>
      <c r="AI63" s="96"/>
      <c r="AJ63" s="88" t="str">
        <f>MATERIALES!B5</f>
        <v>CEM-001</v>
      </c>
      <c r="AK63" s="71" t="s">
        <v>144</v>
      </c>
      <c r="AL63" s="100">
        <v>0.25</v>
      </c>
      <c r="AM63" s="71" t="s">
        <v>75</v>
      </c>
      <c r="AN63" s="73">
        <f>MATERIALES!E5</f>
        <v>3500</v>
      </c>
      <c r="AO63" s="74">
        <f>AL63*AN63</f>
        <v>875</v>
      </c>
      <c r="AP63" s="96"/>
      <c r="AQ63" s="88" t="str">
        <f>MATERIALES!B5</f>
        <v>CEM-001</v>
      </c>
      <c r="AR63" s="71" t="s">
        <v>144</v>
      </c>
      <c r="AS63" s="100">
        <v>0.21</v>
      </c>
      <c r="AT63" s="71" t="s">
        <v>75</v>
      </c>
      <c r="AU63" s="73">
        <f>MATERIALES!E5</f>
        <v>3500</v>
      </c>
      <c r="AV63" s="74">
        <f>AS63*AU63</f>
        <v>735</v>
      </c>
      <c r="AW63" s="67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</row>
    <row r="64" spans="1:111" ht="15" customHeight="1">
      <c r="A64" s="101" t="str">
        <f>MATERIALES!B8</f>
        <v>ARE-001</v>
      </c>
      <c r="B64" s="75" t="s">
        <v>145</v>
      </c>
      <c r="C64" s="102">
        <v>1</v>
      </c>
      <c r="D64" s="75" t="s">
        <v>17</v>
      </c>
      <c r="E64" s="77">
        <f>MATERIALES!E8</f>
        <v>189</v>
      </c>
      <c r="F64" s="78">
        <f>C64*E64</f>
        <v>189</v>
      </c>
      <c r="G64" s="96"/>
      <c r="H64" s="101" t="str">
        <f>MATERIALES!B8</f>
        <v>ARE-001</v>
      </c>
      <c r="I64" s="75" t="s">
        <v>145</v>
      </c>
      <c r="J64" s="102">
        <v>1.1000000000000001</v>
      </c>
      <c r="K64" s="75" t="s">
        <v>17</v>
      </c>
      <c r="L64" s="77">
        <f>MATERIALES!E8</f>
        <v>189</v>
      </c>
      <c r="M64" s="78">
        <f>J64*L64</f>
        <v>207.9</v>
      </c>
      <c r="N64" s="96"/>
      <c r="O64" s="101" t="s">
        <v>76</v>
      </c>
      <c r="P64" s="75" t="s">
        <v>145</v>
      </c>
      <c r="Q64" s="102">
        <v>1.1200000000000001</v>
      </c>
      <c r="R64" s="75" t="s">
        <v>17</v>
      </c>
      <c r="S64" s="77">
        <f>MATERIALES!E8</f>
        <v>189</v>
      </c>
      <c r="T64" s="78">
        <f>Q64*S64</f>
        <v>211.68</v>
      </c>
      <c r="U64" s="96"/>
      <c r="V64" s="101" t="s">
        <v>76</v>
      </c>
      <c r="W64" s="75" t="s">
        <v>145</v>
      </c>
      <c r="X64" s="102">
        <v>1.1499999999999999</v>
      </c>
      <c r="Y64" s="75" t="s">
        <v>17</v>
      </c>
      <c r="Z64" s="77">
        <f>MATERIALES!E8</f>
        <v>189</v>
      </c>
      <c r="AA64" s="78">
        <f>X64*Z64</f>
        <v>217.35</v>
      </c>
      <c r="AB64" s="96"/>
      <c r="AC64" s="101" t="s">
        <v>76</v>
      </c>
      <c r="AD64" s="75" t="s">
        <v>145</v>
      </c>
      <c r="AE64" s="102">
        <v>1.19</v>
      </c>
      <c r="AF64" s="75" t="s">
        <v>17</v>
      </c>
      <c r="AG64" s="77">
        <f>MATERIALES!E8</f>
        <v>189</v>
      </c>
      <c r="AH64" s="78">
        <f>AE64*AG64</f>
        <v>224.91</v>
      </c>
      <c r="AI64" s="96"/>
      <c r="AJ64" s="101" t="s">
        <v>76</v>
      </c>
      <c r="AK64" s="75" t="s">
        <v>145</v>
      </c>
      <c r="AL64" s="102">
        <v>1.24</v>
      </c>
      <c r="AM64" s="75" t="s">
        <v>17</v>
      </c>
      <c r="AN64" s="77">
        <f>MATERIALES!E8</f>
        <v>189</v>
      </c>
      <c r="AO64" s="78">
        <f>AL64*AN64</f>
        <v>234.35999999999999</v>
      </c>
      <c r="AP64" s="96"/>
      <c r="AQ64" s="101" t="s">
        <v>76</v>
      </c>
      <c r="AR64" s="75" t="s">
        <v>145</v>
      </c>
      <c r="AS64" s="102">
        <v>1.3</v>
      </c>
      <c r="AT64" s="75" t="s">
        <v>17</v>
      </c>
      <c r="AU64" s="77">
        <f>MATERIALES!E8</f>
        <v>189</v>
      </c>
      <c r="AV64" s="78">
        <f>AS64*AU64</f>
        <v>245.70000000000002</v>
      </c>
      <c r="AW64" s="67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</row>
    <row r="65" spans="1:111" ht="15" customHeight="1">
      <c r="A65" s="90" t="str">
        <f>MATERIALES!B15</f>
        <v>AGU-001</v>
      </c>
      <c r="B65" s="79" t="s">
        <v>146</v>
      </c>
      <c r="C65" s="80">
        <v>0.27500000000000002</v>
      </c>
      <c r="D65" s="79" t="s">
        <v>17</v>
      </c>
      <c r="E65" s="81">
        <f>MATERIALES!E15</f>
        <v>10</v>
      </c>
      <c r="F65" s="78">
        <f>C65*E65</f>
        <v>2.75</v>
      </c>
      <c r="G65" s="96"/>
      <c r="H65" s="90" t="str">
        <f>MATERIALES!B15</f>
        <v>AGU-001</v>
      </c>
      <c r="I65" s="79" t="s">
        <v>146</v>
      </c>
      <c r="J65" s="91">
        <v>0.27200000000000002</v>
      </c>
      <c r="K65" s="79" t="s">
        <v>17</v>
      </c>
      <c r="L65" s="81">
        <f>MATERIALES!E15</f>
        <v>10</v>
      </c>
      <c r="M65" s="78">
        <f>J65*L65</f>
        <v>2.72</v>
      </c>
      <c r="N65" s="96"/>
      <c r="O65" s="90" t="str">
        <f>MATERIALES!B15</f>
        <v>AGU-001</v>
      </c>
      <c r="P65" s="79" t="s">
        <v>146</v>
      </c>
      <c r="Q65" s="91">
        <v>0.26600000000000001</v>
      </c>
      <c r="R65" s="79" t="s">
        <v>17</v>
      </c>
      <c r="S65" s="81">
        <f>MATERIALES!E15</f>
        <v>10</v>
      </c>
      <c r="T65" s="78">
        <f>Q65*S65</f>
        <v>2.66</v>
      </c>
      <c r="U65" s="96"/>
      <c r="V65" s="90" t="str">
        <f>MATERIALES!B15</f>
        <v>AGU-001</v>
      </c>
      <c r="W65" s="79" t="s">
        <v>146</v>
      </c>
      <c r="X65" s="91">
        <v>0.26100000000000001</v>
      </c>
      <c r="Y65" s="79" t="s">
        <v>17</v>
      </c>
      <c r="Z65" s="81">
        <f>MATERIALES!E15</f>
        <v>10</v>
      </c>
      <c r="AA65" s="78">
        <f>X65*Z65</f>
        <v>2.6100000000000003</v>
      </c>
      <c r="AB65" s="96"/>
      <c r="AC65" s="90" t="str">
        <f>MATERIALES!B15</f>
        <v>AGU-001</v>
      </c>
      <c r="AD65" s="79" t="s">
        <v>146</v>
      </c>
      <c r="AE65" s="91">
        <v>0.25700000000000001</v>
      </c>
      <c r="AF65" s="79" t="s">
        <v>17</v>
      </c>
      <c r="AG65" s="81">
        <f>MATERIALES!E15</f>
        <v>10</v>
      </c>
      <c r="AH65" s="78">
        <f>AE65*AG65</f>
        <v>2.5700000000000003</v>
      </c>
      <c r="AI65" s="96"/>
      <c r="AJ65" s="90" t="str">
        <f>MATERIALES!B15</f>
        <v>AGU-001</v>
      </c>
      <c r="AK65" s="79" t="s">
        <v>146</v>
      </c>
      <c r="AL65" s="80">
        <v>0.252</v>
      </c>
      <c r="AM65" s="79" t="s">
        <v>17</v>
      </c>
      <c r="AN65" s="81">
        <f>MATERIALES!E15</f>
        <v>10</v>
      </c>
      <c r="AO65" s="78">
        <f>AL65*AN65</f>
        <v>2.52</v>
      </c>
      <c r="AP65" s="96"/>
      <c r="AQ65" s="90" t="s">
        <v>147</v>
      </c>
      <c r="AR65" s="79" t="str">
        <f>MATERIALES!B15</f>
        <v>AGU-001</v>
      </c>
      <c r="AS65" s="91">
        <v>0.246</v>
      </c>
      <c r="AT65" s="79" t="s">
        <v>17</v>
      </c>
      <c r="AU65" s="81">
        <f>MATERIALES!E15</f>
        <v>10</v>
      </c>
      <c r="AV65" s="78">
        <f>AS65*AU65</f>
        <v>2.46</v>
      </c>
      <c r="AW65" s="67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</row>
    <row r="66" spans="1:111" ht="15" customHeight="1">
      <c r="A66" s="852" t="s">
        <v>79</v>
      </c>
      <c r="B66" s="853"/>
      <c r="C66" s="853"/>
      <c r="D66" s="853"/>
      <c r="E66" s="853"/>
      <c r="F66" s="121">
        <f>SUM(F63,F64,F65)</f>
        <v>2291.75</v>
      </c>
      <c r="G66" s="96"/>
      <c r="H66" s="852" t="s">
        <v>79</v>
      </c>
      <c r="I66" s="853"/>
      <c r="J66" s="853"/>
      <c r="K66" s="853"/>
      <c r="L66" s="853"/>
      <c r="M66" s="121">
        <f>SUM(M63,M64,M65)</f>
        <v>1995.6200000000001</v>
      </c>
      <c r="N66" s="96"/>
      <c r="O66" s="852" t="s">
        <v>79</v>
      </c>
      <c r="P66" s="853"/>
      <c r="Q66" s="853"/>
      <c r="R66" s="853"/>
      <c r="S66" s="853"/>
      <c r="T66" s="121">
        <f>SUM(T63,T64,T65)</f>
        <v>1719.3400000000001</v>
      </c>
      <c r="U66" s="96"/>
      <c r="V66" s="852" t="s">
        <v>79</v>
      </c>
      <c r="W66" s="853"/>
      <c r="X66" s="853"/>
      <c r="Y66" s="853"/>
      <c r="Z66" s="853"/>
      <c r="AA66" s="121">
        <f>SUM(AA63,AA64,AA65)</f>
        <v>1479.9599999999998</v>
      </c>
      <c r="AB66" s="96"/>
      <c r="AC66" s="852" t="s">
        <v>79</v>
      </c>
      <c r="AD66" s="853"/>
      <c r="AE66" s="853"/>
      <c r="AF66" s="853"/>
      <c r="AG66" s="853"/>
      <c r="AH66" s="121">
        <f>SUM(AH63,AH64,AH65)</f>
        <v>1277.48</v>
      </c>
      <c r="AI66" s="96"/>
      <c r="AJ66" s="852" t="s">
        <v>79</v>
      </c>
      <c r="AK66" s="853"/>
      <c r="AL66" s="853"/>
      <c r="AM66" s="853"/>
      <c r="AN66" s="853"/>
      <c r="AO66" s="121">
        <f>SUM(AO63,AO64,AO65)</f>
        <v>1111.8799999999999</v>
      </c>
      <c r="AP66" s="96"/>
      <c r="AQ66" s="852" t="s">
        <v>79</v>
      </c>
      <c r="AR66" s="853"/>
      <c r="AS66" s="853"/>
      <c r="AT66" s="853"/>
      <c r="AU66" s="853"/>
      <c r="AV66" s="121">
        <f>SUM(AV63,AV64,AV65)</f>
        <v>983.16000000000008</v>
      </c>
      <c r="AW66" s="67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</row>
    <row r="67" spans="1:111" ht="15" customHeight="1">
      <c r="A67" s="84"/>
      <c r="B67" s="84"/>
      <c r="C67" s="84"/>
      <c r="D67" s="84"/>
      <c r="E67" s="84"/>
      <c r="F67" s="84"/>
      <c r="G67" s="61"/>
      <c r="H67" s="84"/>
      <c r="I67" s="84"/>
      <c r="J67" s="84"/>
      <c r="K67" s="84"/>
      <c r="L67" s="84"/>
      <c r="M67" s="84"/>
      <c r="N67" s="61"/>
      <c r="O67" s="84"/>
      <c r="P67" s="84"/>
      <c r="Q67" s="84"/>
      <c r="R67" s="84"/>
      <c r="S67" s="84"/>
      <c r="T67" s="84"/>
      <c r="U67" s="61"/>
      <c r="V67" s="84"/>
      <c r="W67" s="84"/>
      <c r="X67" s="84"/>
      <c r="Y67" s="84"/>
      <c r="Z67" s="84"/>
      <c r="AA67" s="84"/>
      <c r="AB67" s="61"/>
      <c r="AC67" s="84"/>
      <c r="AD67" s="84"/>
      <c r="AE67" s="84"/>
      <c r="AF67" s="84"/>
      <c r="AG67" s="84"/>
      <c r="AH67" s="84"/>
      <c r="AI67" s="61"/>
      <c r="AJ67" s="115"/>
      <c r="AK67" s="115"/>
      <c r="AL67" s="115"/>
      <c r="AM67" s="115"/>
      <c r="AN67" s="115"/>
      <c r="AO67" s="115"/>
      <c r="AP67" s="61"/>
      <c r="AQ67" s="115"/>
      <c r="AR67" s="115"/>
      <c r="AS67" s="115"/>
      <c r="AT67" s="115"/>
      <c r="AU67" s="115"/>
      <c r="AV67" s="115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</row>
    <row r="68" spans="1:111" ht="15" customHeight="1">
      <c r="A68" s="64" t="s">
        <v>148</v>
      </c>
      <c r="B68" s="848" t="s">
        <v>149</v>
      </c>
      <c r="C68" s="847"/>
      <c r="D68" s="847"/>
      <c r="E68" s="849"/>
      <c r="F68" s="66" t="s">
        <v>17</v>
      </c>
      <c r="G68" s="96"/>
      <c r="H68" s="116" t="s">
        <v>150</v>
      </c>
      <c r="I68" s="846" t="s">
        <v>151</v>
      </c>
      <c r="J68" s="847"/>
      <c r="K68" s="847"/>
      <c r="L68" s="847"/>
      <c r="M68" s="117" t="s">
        <v>17</v>
      </c>
      <c r="N68" s="96"/>
      <c r="O68" s="116" t="s">
        <v>152</v>
      </c>
      <c r="P68" s="846" t="s">
        <v>153</v>
      </c>
      <c r="Q68" s="847"/>
      <c r="R68" s="847"/>
      <c r="S68" s="847"/>
      <c r="T68" s="117" t="s">
        <v>17</v>
      </c>
      <c r="U68" s="96"/>
      <c r="V68" s="116" t="s">
        <v>154</v>
      </c>
      <c r="W68" s="846" t="s">
        <v>155</v>
      </c>
      <c r="X68" s="847"/>
      <c r="Y68" s="847"/>
      <c r="Z68" s="847"/>
      <c r="AA68" s="117" t="s">
        <v>17</v>
      </c>
      <c r="AB68" s="96"/>
      <c r="AC68" s="116" t="s">
        <v>156</v>
      </c>
      <c r="AD68" s="846" t="s">
        <v>157</v>
      </c>
      <c r="AE68" s="847"/>
      <c r="AF68" s="847"/>
      <c r="AG68" s="847"/>
      <c r="AH68" s="117" t="s">
        <v>17</v>
      </c>
      <c r="AI68" s="67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</row>
    <row r="69" spans="1:111" ht="15" customHeight="1">
      <c r="A69" s="122" t="s">
        <v>1</v>
      </c>
      <c r="B69" s="123" t="s">
        <v>2</v>
      </c>
      <c r="C69" s="123" t="s">
        <v>72</v>
      </c>
      <c r="D69" s="123" t="s">
        <v>3</v>
      </c>
      <c r="E69" s="123" t="s">
        <v>10</v>
      </c>
      <c r="F69" s="124" t="s">
        <v>11</v>
      </c>
      <c r="G69" s="96"/>
      <c r="H69" s="122" t="s">
        <v>1</v>
      </c>
      <c r="I69" s="123" t="s">
        <v>2</v>
      </c>
      <c r="J69" s="123" t="s">
        <v>72</v>
      </c>
      <c r="K69" s="123" t="s">
        <v>3</v>
      </c>
      <c r="L69" s="123" t="s">
        <v>10</v>
      </c>
      <c r="M69" s="124" t="s">
        <v>11</v>
      </c>
      <c r="N69" s="96"/>
      <c r="O69" s="122" t="s">
        <v>1</v>
      </c>
      <c r="P69" s="123" t="s">
        <v>2</v>
      </c>
      <c r="Q69" s="123" t="s">
        <v>72</v>
      </c>
      <c r="R69" s="123" t="s">
        <v>3</v>
      </c>
      <c r="S69" s="123" t="s">
        <v>10</v>
      </c>
      <c r="T69" s="124" t="s">
        <v>11</v>
      </c>
      <c r="U69" s="96"/>
      <c r="V69" s="122" t="s">
        <v>1</v>
      </c>
      <c r="W69" s="123" t="s">
        <v>2</v>
      </c>
      <c r="X69" s="123" t="s">
        <v>72</v>
      </c>
      <c r="Y69" s="123" t="s">
        <v>3</v>
      </c>
      <c r="Z69" s="123" t="s">
        <v>10</v>
      </c>
      <c r="AA69" s="124" t="s">
        <v>11</v>
      </c>
      <c r="AB69" s="96"/>
      <c r="AC69" s="122" t="s">
        <v>1</v>
      </c>
      <c r="AD69" s="123" t="s">
        <v>2</v>
      </c>
      <c r="AE69" s="123" t="s">
        <v>72</v>
      </c>
      <c r="AF69" s="123" t="s">
        <v>3</v>
      </c>
      <c r="AG69" s="123" t="s">
        <v>10</v>
      </c>
      <c r="AH69" s="124" t="s">
        <v>11</v>
      </c>
      <c r="AI69" s="67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</row>
    <row r="70" spans="1:111" ht="15" customHeight="1">
      <c r="A70" s="88" t="str">
        <f>MATERIALES!B5</f>
        <v>CEM-001</v>
      </c>
      <c r="B70" s="71" t="s">
        <v>144</v>
      </c>
      <c r="C70" s="100">
        <v>0.3</v>
      </c>
      <c r="D70" s="71" t="s">
        <v>75</v>
      </c>
      <c r="E70" s="73">
        <f>MATERIALES!E5</f>
        <v>3500</v>
      </c>
      <c r="F70" s="74">
        <f>C70*E70</f>
        <v>1050</v>
      </c>
      <c r="G70" s="96"/>
      <c r="H70" s="88" t="str">
        <f>MATERIALES!B5</f>
        <v>CEM-001</v>
      </c>
      <c r="I70" s="71" t="s">
        <v>144</v>
      </c>
      <c r="J70" s="72">
        <v>0.255</v>
      </c>
      <c r="K70" s="71" t="s">
        <v>75</v>
      </c>
      <c r="L70" s="73">
        <f>MATERIALES!E5</f>
        <v>3500</v>
      </c>
      <c r="M70" s="74">
        <f>J70*L70</f>
        <v>892.5</v>
      </c>
      <c r="N70" s="96"/>
      <c r="O70" s="88" t="str">
        <f>MATERIALES!B5</f>
        <v>CEM-001</v>
      </c>
      <c r="P70" s="71" t="s">
        <v>144</v>
      </c>
      <c r="Q70" s="72">
        <v>0.215</v>
      </c>
      <c r="R70" s="71" t="s">
        <v>75</v>
      </c>
      <c r="S70" s="73">
        <f>MATERIALES!E5</f>
        <v>3500</v>
      </c>
      <c r="T70" s="74">
        <f>Q70*S70</f>
        <v>752.5</v>
      </c>
      <c r="U70" s="96"/>
      <c r="V70" s="88" t="str">
        <f>MATERIALES!B5</f>
        <v>CEM-001</v>
      </c>
      <c r="W70" s="71" t="s">
        <v>144</v>
      </c>
      <c r="X70" s="100">
        <v>0.18</v>
      </c>
      <c r="Y70" s="71" t="s">
        <v>75</v>
      </c>
      <c r="Z70" s="73">
        <f>MATERIALES!E5</f>
        <v>3500</v>
      </c>
      <c r="AA70" s="74">
        <f>X70*Z70</f>
        <v>630</v>
      </c>
      <c r="AB70" s="96"/>
      <c r="AC70" s="88" t="str">
        <f>MATERIALES!B5</f>
        <v>CEM-001</v>
      </c>
      <c r="AD70" s="71" t="s">
        <v>144</v>
      </c>
      <c r="AE70" s="100">
        <v>0.15</v>
      </c>
      <c r="AF70" s="71" t="s">
        <v>75</v>
      </c>
      <c r="AG70" s="73">
        <f>MATERIALES!E5</f>
        <v>3500</v>
      </c>
      <c r="AH70" s="74">
        <f>AE70*AG70</f>
        <v>525</v>
      </c>
      <c r="AI70" s="67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</row>
    <row r="71" spans="1:111" ht="15" customHeight="1">
      <c r="A71" s="101" t="s">
        <v>158</v>
      </c>
      <c r="B71" s="75" t="s">
        <v>159</v>
      </c>
      <c r="C71" s="102">
        <v>0.15</v>
      </c>
      <c r="D71" s="75" t="s">
        <v>75</v>
      </c>
      <c r="E71" s="77">
        <f>MATERIALES!E4</f>
        <v>1982.4</v>
      </c>
      <c r="F71" s="78">
        <f>C71*E71</f>
        <v>297.36</v>
      </c>
      <c r="G71" s="96"/>
      <c r="H71" s="101" t="s">
        <v>158</v>
      </c>
      <c r="I71" s="75" t="s">
        <v>159</v>
      </c>
      <c r="J71" s="76">
        <v>0.125</v>
      </c>
      <c r="K71" s="75" t="s">
        <v>75</v>
      </c>
      <c r="L71" s="77">
        <f>MATERIALES!E4</f>
        <v>1982.4</v>
      </c>
      <c r="M71" s="78">
        <f>J71*L71</f>
        <v>247.8</v>
      </c>
      <c r="N71" s="96"/>
      <c r="O71" s="101" t="s">
        <v>158</v>
      </c>
      <c r="P71" s="75" t="s">
        <v>159</v>
      </c>
      <c r="Q71" s="102">
        <v>0.1</v>
      </c>
      <c r="R71" s="75" t="s">
        <v>75</v>
      </c>
      <c r="S71" s="77">
        <f>MATERIALES!E4</f>
        <v>1982.4</v>
      </c>
      <c r="T71" s="78">
        <f>Q71*S71</f>
        <v>198.24</v>
      </c>
      <c r="U71" s="96"/>
      <c r="V71" s="101" t="s">
        <v>158</v>
      </c>
      <c r="W71" s="75" t="s">
        <v>159</v>
      </c>
      <c r="X71" s="102">
        <v>8.5000000000000006E-2</v>
      </c>
      <c r="Y71" s="75" t="s">
        <v>75</v>
      </c>
      <c r="Z71" s="77">
        <f>MATERIALES!E4</f>
        <v>1982.4</v>
      </c>
      <c r="AA71" s="78">
        <f>X71*Z71</f>
        <v>168.50400000000002</v>
      </c>
      <c r="AB71" s="96"/>
      <c r="AC71" s="101" t="s">
        <v>158</v>
      </c>
      <c r="AD71" s="75" t="s">
        <v>159</v>
      </c>
      <c r="AE71" s="102">
        <v>7.4999999999999997E-2</v>
      </c>
      <c r="AF71" s="75" t="s">
        <v>75</v>
      </c>
      <c r="AG71" s="77">
        <f>MATERIALES!E4</f>
        <v>1982.4</v>
      </c>
      <c r="AH71" s="78">
        <f>AE71*AG71</f>
        <v>148.68</v>
      </c>
      <c r="AI71" s="67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</row>
    <row r="72" spans="1:111" ht="15" customHeight="1">
      <c r="A72" s="101" t="str">
        <f>MATERIALES!B8</f>
        <v>ARE-001</v>
      </c>
      <c r="B72" s="75" t="s">
        <v>145</v>
      </c>
      <c r="C72" s="102">
        <v>1</v>
      </c>
      <c r="D72" s="75" t="s">
        <v>17</v>
      </c>
      <c r="E72" s="77">
        <f>MATERIALES!E8</f>
        <v>189</v>
      </c>
      <c r="F72" s="78">
        <f>C72*E72</f>
        <v>189</v>
      </c>
      <c r="G72" s="96"/>
      <c r="H72" s="101" t="str">
        <f>MATERIALES!B8</f>
        <v>ARE-001</v>
      </c>
      <c r="I72" s="75" t="s">
        <v>145</v>
      </c>
      <c r="J72" s="76">
        <v>1.05</v>
      </c>
      <c r="K72" s="75" t="s">
        <v>17</v>
      </c>
      <c r="L72" s="77">
        <f>MATERIALES!E8</f>
        <v>189</v>
      </c>
      <c r="M72" s="78">
        <f>J72*L72</f>
        <v>198.45000000000002</v>
      </c>
      <c r="N72" s="96"/>
      <c r="O72" s="101" t="s">
        <v>76</v>
      </c>
      <c r="P72" s="75" t="s">
        <v>145</v>
      </c>
      <c r="Q72" s="102">
        <v>1.095</v>
      </c>
      <c r="R72" s="75" t="s">
        <v>17</v>
      </c>
      <c r="S72" s="77">
        <f>MATERIALES!E8</f>
        <v>189</v>
      </c>
      <c r="T72" s="78">
        <f>Q72*S72</f>
        <v>206.95499999999998</v>
      </c>
      <c r="U72" s="96"/>
      <c r="V72" s="101" t="s">
        <v>76</v>
      </c>
      <c r="W72" s="75" t="s">
        <v>145</v>
      </c>
      <c r="X72" s="102">
        <v>1.0649999999999999</v>
      </c>
      <c r="Y72" s="75" t="s">
        <v>17</v>
      </c>
      <c r="Z72" s="77">
        <f>MATERIALES!E8</f>
        <v>189</v>
      </c>
      <c r="AA72" s="78">
        <f>X72*Z72</f>
        <v>201.285</v>
      </c>
      <c r="AB72" s="96"/>
      <c r="AC72" s="101" t="s">
        <v>76</v>
      </c>
      <c r="AD72" s="75" t="s">
        <v>145</v>
      </c>
      <c r="AE72" s="102">
        <v>1.1850000000000001</v>
      </c>
      <c r="AF72" s="75" t="s">
        <v>17</v>
      </c>
      <c r="AG72" s="77">
        <f>MATERIALES!E8</f>
        <v>189</v>
      </c>
      <c r="AH72" s="78">
        <f>AE72*AG72</f>
        <v>223.965</v>
      </c>
      <c r="AI72" s="67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</row>
    <row r="73" spans="1:111" ht="15" customHeight="1">
      <c r="A73" s="90" t="str">
        <f>MATERIALES!B15</f>
        <v>AGU-001</v>
      </c>
      <c r="B73" s="79" t="s">
        <v>146</v>
      </c>
      <c r="C73" s="91">
        <v>0.28000000000000003</v>
      </c>
      <c r="D73" s="79" t="s">
        <v>17</v>
      </c>
      <c r="E73" s="81">
        <f>MATERIALES!E15</f>
        <v>10</v>
      </c>
      <c r="F73" s="78">
        <f>C73*E73</f>
        <v>2.8000000000000003</v>
      </c>
      <c r="G73" s="96"/>
      <c r="H73" s="90" t="str">
        <f>MATERIALES!B15</f>
        <v>AGU-001</v>
      </c>
      <c r="I73" s="79" t="s">
        <v>146</v>
      </c>
      <c r="J73" s="80">
        <v>0.27900000000000003</v>
      </c>
      <c r="K73" s="79" t="s">
        <v>17</v>
      </c>
      <c r="L73" s="81">
        <f>MATERIALES!E15</f>
        <v>10</v>
      </c>
      <c r="M73" s="78">
        <f>J73*L73</f>
        <v>2.79</v>
      </c>
      <c r="N73" s="96"/>
      <c r="O73" s="90" t="str">
        <f>MATERIALES!B15</f>
        <v>AGU-001</v>
      </c>
      <c r="P73" s="79" t="s">
        <v>146</v>
      </c>
      <c r="Q73" s="91">
        <v>0.27800000000000002</v>
      </c>
      <c r="R73" s="79" t="s">
        <v>17</v>
      </c>
      <c r="S73" s="81">
        <f>MATERIALES!E15</f>
        <v>10</v>
      </c>
      <c r="T73" s="78">
        <f>Q73*S73</f>
        <v>2.7800000000000002</v>
      </c>
      <c r="U73" s="96"/>
      <c r="V73" s="90" t="str">
        <f>MATERIALES!B15</f>
        <v>AGU-001</v>
      </c>
      <c r="W73" s="79" t="s">
        <v>146</v>
      </c>
      <c r="X73" s="91">
        <v>0.27500000000000002</v>
      </c>
      <c r="Y73" s="79" t="s">
        <v>17</v>
      </c>
      <c r="Z73" s="81">
        <f>MATERIALES!E15</f>
        <v>10</v>
      </c>
      <c r="AA73" s="78">
        <f>X73*Z73</f>
        <v>2.75</v>
      </c>
      <c r="AB73" s="96"/>
      <c r="AC73" s="90" t="str">
        <f>MATERIALES!B15</f>
        <v>AGU-001</v>
      </c>
      <c r="AD73" s="79" t="s">
        <v>146</v>
      </c>
      <c r="AE73" s="91">
        <v>0.27300000000000002</v>
      </c>
      <c r="AF73" s="79" t="s">
        <v>17</v>
      </c>
      <c r="AG73" s="81">
        <f>MATERIALES!E15</f>
        <v>10</v>
      </c>
      <c r="AH73" s="78">
        <f>AE73*AG73</f>
        <v>2.7300000000000004</v>
      </c>
      <c r="AI73" s="67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</row>
    <row r="74" spans="1:111" ht="15" customHeight="1">
      <c r="A74" s="806" t="s">
        <v>79</v>
      </c>
      <c r="B74" s="807"/>
      <c r="C74" s="807"/>
      <c r="D74" s="807"/>
      <c r="E74" s="807"/>
      <c r="F74" s="121">
        <f>SUM(F70:F73)</f>
        <v>1539.16</v>
      </c>
      <c r="G74" s="96"/>
      <c r="H74" s="806" t="s">
        <v>79</v>
      </c>
      <c r="I74" s="807"/>
      <c r="J74" s="807"/>
      <c r="K74" s="807"/>
      <c r="L74" s="807"/>
      <c r="M74" s="121">
        <f>SUM(M70:M73)</f>
        <v>1341.54</v>
      </c>
      <c r="N74" s="96"/>
      <c r="O74" s="806" t="s">
        <v>79</v>
      </c>
      <c r="P74" s="807"/>
      <c r="Q74" s="807"/>
      <c r="R74" s="807"/>
      <c r="S74" s="807"/>
      <c r="T74" s="121">
        <f>SUM(T70:T73)</f>
        <v>1160.4749999999999</v>
      </c>
      <c r="U74" s="96"/>
      <c r="V74" s="806" t="s">
        <v>79</v>
      </c>
      <c r="W74" s="807"/>
      <c r="X74" s="807"/>
      <c r="Y74" s="807"/>
      <c r="Z74" s="807"/>
      <c r="AA74" s="121">
        <f>SUM(AA70:AA73)</f>
        <v>1002.539</v>
      </c>
      <c r="AB74" s="96"/>
      <c r="AC74" s="806" t="s">
        <v>79</v>
      </c>
      <c r="AD74" s="807"/>
      <c r="AE74" s="807"/>
      <c r="AF74" s="807"/>
      <c r="AG74" s="807"/>
      <c r="AH74" s="121">
        <f>SUM(AH70:AH73)</f>
        <v>900.37500000000011</v>
      </c>
      <c r="AI74" s="67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</row>
    <row r="75" spans="1:111" ht="15" customHeight="1">
      <c r="A75" s="84"/>
      <c r="B75" s="84"/>
      <c r="C75" s="84"/>
      <c r="D75" s="84"/>
      <c r="E75" s="84"/>
      <c r="F75" s="84"/>
      <c r="G75" s="61"/>
      <c r="H75" s="84"/>
      <c r="I75" s="84"/>
      <c r="J75" s="84"/>
      <c r="K75" s="84"/>
      <c r="L75" s="84"/>
      <c r="M75" s="84"/>
      <c r="N75" s="61"/>
      <c r="O75" s="84"/>
      <c r="P75" s="84"/>
      <c r="Q75" s="84"/>
      <c r="R75" s="84"/>
      <c r="S75" s="84"/>
      <c r="T75" s="84"/>
      <c r="U75" s="61"/>
      <c r="V75" s="84"/>
      <c r="W75" s="84"/>
      <c r="X75" s="84"/>
      <c r="Y75" s="84"/>
      <c r="Z75" s="84"/>
      <c r="AA75" s="84"/>
      <c r="AB75" s="61"/>
      <c r="AC75" s="84"/>
      <c r="AD75" s="84"/>
      <c r="AE75" s="84"/>
      <c r="AF75" s="84"/>
      <c r="AG75" s="84"/>
      <c r="AH75" s="84"/>
      <c r="AI75" s="61"/>
      <c r="AJ75" s="63"/>
      <c r="AK75" s="63"/>
      <c r="AL75" s="63"/>
      <c r="AM75" s="63"/>
      <c r="AN75" s="63"/>
      <c r="AO75" s="63"/>
      <c r="AP75" s="61"/>
      <c r="AQ75" s="63"/>
      <c r="AR75" s="63"/>
      <c r="AS75" s="63"/>
      <c r="AT75" s="63"/>
      <c r="AU75" s="63"/>
      <c r="AV75" s="63"/>
      <c r="AW75" s="61"/>
      <c r="AX75" s="63"/>
      <c r="AY75" s="63"/>
      <c r="AZ75" s="63"/>
      <c r="BA75" s="63"/>
      <c r="BB75" s="63"/>
      <c r="BC75" s="63"/>
      <c r="BD75" s="61"/>
      <c r="BE75" s="63"/>
      <c r="BF75" s="63"/>
      <c r="BG75" s="63"/>
      <c r="BH75" s="63"/>
      <c r="BI75" s="63"/>
      <c r="BJ75" s="63"/>
      <c r="BK75" s="61"/>
      <c r="BL75" s="63"/>
      <c r="BM75" s="63"/>
      <c r="BN75" s="63"/>
      <c r="BO75" s="63"/>
      <c r="BP75" s="63"/>
      <c r="BQ75" s="63"/>
      <c r="BR75" s="61"/>
      <c r="BS75" s="63"/>
      <c r="BT75" s="63"/>
      <c r="BU75" s="63"/>
      <c r="BV75" s="63"/>
      <c r="BW75" s="63"/>
      <c r="BX75" s="63"/>
      <c r="BY75" s="61"/>
      <c r="BZ75" s="63"/>
      <c r="CA75" s="63"/>
      <c r="CB75" s="63"/>
      <c r="CC75" s="63"/>
      <c r="CD75" s="63"/>
      <c r="CE75" s="63"/>
      <c r="CF75" s="61"/>
      <c r="CG75" s="63"/>
      <c r="CH75" s="63"/>
      <c r="CI75" s="63"/>
      <c r="CJ75" s="63"/>
      <c r="CK75" s="63"/>
      <c r="CL75" s="63"/>
      <c r="CM75" s="61"/>
      <c r="CN75" s="63"/>
      <c r="CO75" s="63"/>
      <c r="CP75" s="63"/>
      <c r="CQ75" s="63"/>
      <c r="CR75" s="63"/>
      <c r="CS75" s="63"/>
      <c r="CT75" s="61"/>
      <c r="CU75" s="63"/>
      <c r="CV75" s="63"/>
      <c r="CW75" s="63"/>
      <c r="CX75" s="63"/>
      <c r="CY75" s="63"/>
      <c r="CZ75" s="63"/>
      <c r="DA75" s="61"/>
      <c r="DB75" s="63"/>
      <c r="DC75" s="63"/>
      <c r="DD75" s="63"/>
      <c r="DE75" s="63"/>
      <c r="DF75" s="63"/>
      <c r="DG75" s="63"/>
    </row>
    <row r="76" spans="1:111" ht="15" customHeight="1">
      <c r="A76" s="64" t="s">
        <v>160</v>
      </c>
      <c r="B76" s="848" t="s">
        <v>161</v>
      </c>
      <c r="C76" s="847"/>
      <c r="D76" s="847"/>
      <c r="E76" s="849"/>
      <c r="F76" s="66" t="s">
        <v>17</v>
      </c>
      <c r="G76" s="96"/>
      <c r="H76" s="116" t="s">
        <v>162</v>
      </c>
      <c r="I76" s="846" t="s">
        <v>163</v>
      </c>
      <c r="J76" s="847"/>
      <c r="K76" s="847"/>
      <c r="L76" s="847"/>
      <c r="M76" s="117" t="s">
        <v>17</v>
      </c>
      <c r="N76" s="96"/>
      <c r="O76" s="116" t="s">
        <v>164</v>
      </c>
      <c r="P76" s="846" t="s">
        <v>165</v>
      </c>
      <c r="Q76" s="847"/>
      <c r="R76" s="847"/>
      <c r="S76" s="847"/>
      <c r="T76" s="117" t="s">
        <v>17</v>
      </c>
      <c r="U76" s="96"/>
      <c r="V76" s="116" t="s">
        <v>166</v>
      </c>
      <c r="W76" s="846" t="s">
        <v>167</v>
      </c>
      <c r="X76" s="847"/>
      <c r="Y76" s="847"/>
      <c r="Z76" s="847"/>
      <c r="AA76" s="117" t="s">
        <v>17</v>
      </c>
      <c r="AB76" s="96"/>
      <c r="AC76" s="116" t="s">
        <v>168</v>
      </c>
      <c r="AD76" s="846" t="s">
        <v>169</v>
      </c>
      <c r="AE76" s="847"/>
      <c r="AF76" s="847"/>
      <c r="AG76" s="847"/>
      <c r="AH76" s="117" t="s">
        <v>17</v>
      </c>
      <c r="AI76" s="96"/>
      <c r="AJ76" s="116" t="s">
        <v>170</v>
      </c>
      <c r="AK76" s="846" t="s">
        <v>171</v>
      </c>
      <c r="AL76" s="847"/>
      <c r="AM76" s="847"/>
      <c r="AN76" s="847"/>
      <c r="AO76" s="117" t="s">
        <v>17</v>
      </c>
      <c r="AP76" s="96"/>
      <c r="AQ76" s="116" t="s">
        <v>172</v>
      </c>
      <c r="AR76" s="846" t="s">
        <v>173</v>
      </c>
      <c r="AS76" s="847"/>
      <c r="AT76" s="847"/>
      <c r="AU76" s="847"/>
      <c r="AV76" s="117" t="s">
        <v>17</v>
      </c>
      <c r="AW76" s="96"/>
      <c r="AX76" s="116" t="s">
        <v>174</v>
      </c>
      <c r="AY76" s="846" t="s">
        <v>175</v>
      </c>
      <c r="AZ76" s="847"/>
      <c r="BA76" s="847"/>
      <c r="BB76" s="847"/>
      <c r="BC76" s="117" t="s">
        <v>17</v>
      </c>
      <c r="BD76" s="96"/>
      <c r="BE76" s="266" t="s">
        <v>176</v>
      </c>
      <c r="BF76" s="878" t="s">
        <v>177</v>
      </c>
      <c r="BG76" s="879"/>
      <c r="BH76" s="879"/>
      <c r="BI76" s="879"/>
      <c r="BJ76" s="267" t="s">
        <v>17</v>
      </c>
      <c r="BK76" s="96"/>
      <c r="BL76" s="116" t="s">
        <v>178</v>
      </c>
      <c r="BM76" s="846" t="s">
        <v>179</v>
      </c>
      <c r="BN76" s="847"/>
      <c r="BO76" s="847"/>
      <c r="BP76" s="847"/>
      <c r="BQ76" s="117" t="s">
        <v>17</v>
      </c>
      <c r="BR76" s="96"/>
      <c r="BS76" s="116" t="s">
        <v>180</v>
      </c>
      <c r="BT76" s="846" t="s">
        <v>181</v>
      </c>
      <c r="BU76" s="847"/>
      <c r="BV76" s="847"/>
      <c r="BW76" s="847"/>
      <c r="BX76" s="117" t="s">
        <v>17</v>
      </c>
      <c r="BY76" s="96"/>
      <c r="BZ76" s="116" t="s">
        <v>182</v>
      </c>
      <c r="CA76" s="846" t="s">
        <v>183</v>
      </c>
      <c r="CB76" s="847"/>
      <c r="CC76" s="847"/>
      <c r="CD76" s="847"/>
      <c r="CE76" s="117" t="s">
        <v>17</v>
      </c>
      <c r="CF76" s="96"/>
      <c r="CG76" s="116" t="s">
        <v>184</v>
      </c>
      <c r="CH76" s="846" t="s">
        <v>185</v>
      </c>
      <c r="CI76" s="847"/>
      <c r="CJ76" s="847"/>
      <c r="CK76" s="847"/>
      <c r="CL76" s="117" t="s">
        <v>17</v>
      </c>
      <c r="CM76" s="96"/>
      <c r="CN76" s="116" t="s">
        <v>186</v>
      </c>
      <c r="CO76" s="846" t="s">
        <v>187</v>
      </c>
      <c r="CP76" s="847"/>
      <c r="CQ76" s="847"/>
      <c r="CR76" s="847"/>
      <c r="CS76" s="117" t="s">
        <v>17</v>
      </c>
      <c r="CT76" s="96"/>
      <c r="CU76" s="116" t="s">
        <v>188</v>
      </c>
      <c r="CV76" s="846" t="s">
        <v>189</v>
      </c>
      <c r="CW76" s="847"/>
      <c r="CX76" s="847"/>
      <c r="CY76" s="847"/>
      <c r="CZ76" s="117" t="s">
        <v>17</v>
      </c>
      <c r="DA76" s="96"/>
      <c r="DB76" s="116" t="s">
        <v>190</v>
      </c>
      <c r="DC76" s="846" t="s">
        <v>191</v>
      </c>
      <c r="DD76" s="847"/>
      <c r="DE76" s="847"/>
      <c r="DF76" s="847"/>
      <c r="DG76" s="117" t="s">
        <v>17</v>
      </c>
    </row>
    <row r="77" spans="1:111" ht="15" customHeight="1">
      <c r="A77" s="125" t="s">
        <v>1</v>
      </c>
      <c r="B77" s="126" t="s">
        <v>2</v>
      </c>
      <c r="C77" s="126" t="s">
        <v>72</v>
      </c>
      <c r="D77" s="126" t="s">
        <v>3</v>
      </c>
      <c r="E77" s="126" t="s">
        <v>10</v>
      </c>
      <c r="F77" s="127" t="s">
        <v>11</v>
      </c>
      <c r="G77" s="96"/>
      <c r="H77" s="125" t="s">
        <v>1</v>
      </c>
      <c r="I77" s="126" t="s">
        <v>2</v>
      </c>
      <c r="J77" s="126" t="s">
        <v>72</v>
      </c>
      <c r="K77" s="126" t="s">
        <v>3</v>
      </c>
      <c r="L77" s="126" t="s">
        <v>10</v>
      </c>
      <c r="M77" s="127" t="s">
        <v>11</v>
      </c>
      <c r="N77" s="96"/>
      <c r="O77" s="125" t="s">
        <v>1</v>
      </c>
      <c r="P77" s="126" t="s">
        <v>2</v>
      </c>
      <c r="Q77" s="126" t="s">
        <v>72</v>
      </c>
      <c r="R77" s="126" t="s">
        <v>3</v>
      </c>
      <c r="S77" s="126" t="s">
        <v>10</v>
      </c>
      <c r="T77" s="127" t="s">
        <v>11</v>
      </c>
      <c r="U77" s="96"/>
      <c r="V77" s="125" t="s">
        <v>1</v>
      </c>
      <c r="W77" s="126" t="s">
        <v>2</v>
      </c>
      <c r="X77" s="126" t="s">
        <v>72</v>
      </c>
      <c r="Y77" s="126" t="s">
        <v>3</v>
      </c>
      <c r="Z77" s="126" t="s">
        <v>10</v>
      </c>
      <c r="AA77" s="127" t="s">
        <v>11</v>
      </c>
      <c r="AB77" s="96"/>
      <c r="AC77" s="125" t="s">
        <v>1</v>
      </c>
      <c r="AD77" s="126" t="s">
        <v>2</v>
      </c>
      <c r="AE77" s="126" t="s">
        <v>72</v>
      </c>
      <c r="AF77" s="126" t="s">
        <v>3</v>
      </c>
      <c r="AG77" s="126" t="s">
        <v>10</v>
      </c>
      <c r="AH77" s="127" t="s">
        <v>11</v>
      </c>
      <c r="AI77" s="96"/>
      <c r="AJ77" s="125" t="s">
        <v>1</v>
      </c>
      <c r="AK77" s="126" t="s">
        <v>2</v>
      </c>
      <c r="AL77" s="126" t="s">
        <v>72</v>
      </c>
      <c r="AM77" s="126" t="s">
        <v>3</v>
      </c>
      <c r="AN77" s="126" t="s">
        <v>10</v>
      </c>
      <c r="AO77" s="127" t="s">
        <v>11</v>
      </c>
      <c r="AP77" s="96"/>
      <c r="AQ77" s="125" t="s">
        <v>1</v>
      </c>
      <c r="AR77" s="126" t="s">
        <v>2</v>
      </c>
      <c r="AS77" s="126" t="s">
        <v>72</v>
      </c>
      <c r="AT77" s="126" t="s">
        <v>3</v>
      </c>
      <c r="AU77" s="126" t="s">
        <v>10</v>
      </c>
      <c r="AV77" s="127" t="s">
        <v>11</v>
      </c>
      <c r="AW77" s="96"/>
      <c r="AX77" s="125" t="s">
        <v>1</v>
      </c>
      <c r="AY77" s="126" t="s">
        <v>2</v>
      </c>
      <c r="AZ77" s="126" t="s">
        <v>72</v>
      </c>
      <c r="BA77" s="126" t="s">
        <v>3</v>
      </c>
      <c r="BB77" s="126" t="s">
        <v>10</v>
      </c>
      <c r="BC77" s="127" t="s">
        <v>11</v>
      </c>
      <c r="BD77" s="96"/>
      <c r="BE77" s="251" t="s">
        <v>1</v>
      </c>
      <c r="BF77" s="252" t="s">
        <v>2</v>
      </c>
      <c r="BG77" s="252" t="s">
        <v>72</v>
      </c>
      <c r="BH77" s="252" t="s">
        <v>3</v>
      </c>
      <c r="BI77" s="252" t="s">
        <v>10</v>
      </c>
      <c r="BJ77" s="253" t="s">
        <v>11</v>
      </c>
      <c r="BK77" s="96"/>
      <c r="BL77" s="125" t="s">
        <v>1</v>
      </c>
      <c r="BM77" s="126" t="s">
        <v>2</v>
      </c>
      <c r="BN77" s="126" t="s">
        <v>72</v>
      </c>
      <c r="BO77" s="126" t="s">
        <v>3</v>
      </c>
      <c r="BP77" s="126" t="s">
        <v>10</v>
      </c>
      <c r="BQ77" s="127" t="s">
        <v>11</v>
      </c>
      <c r="BR77" s="96"/>
      <c r="BS77" s="125" t="s">
        <v>1</v>
      </c>
      <c r="BT77" s="126" t="s">
        <v>2</v>
      </c>
      <c r="BU77" s="126" t="s">
        <v>72</v>
      </c>
      <c r="BV77" s="126" t="s">
        <v>3</v>
      </c>
      <c r="BW77" s="126" t="s">
        <v>10</v>
      </c>
      <c r="BX77" s="127" t="s">
        <v>11</v>
      </c>
      <c r="BY77" s="96"/>
      <c r="BZ77" s="125" t="s">
        <v>1</v>
      </c>
      <c r="CA77" s="126" t="s">
        <v>2</v>
      </c>
      <c r="CB77" s="126" t="s">
        <v>72</v>
      </c>
      <c r="CC77" s="126" t="s">
        <v>3</v>
      </c>
      <c r="CD77" s="126" t="s">
        <v>10</v>
      </c>
      <c r="CE77" s="127" t="s">
        <v>11</v>
      </c>
      <c r="CF77" s="96"/>
      <c r="CG77" s="125" t="s">
        <v>1</v>
      </c>
      <c r="CH77" s="126" t="s">
        <v>2</v>
      </c>
      <c r="CI77" s="126" t="s">
        <v>72</v>
      </c>
      <c r="CJ77" s="126" t="s">
        <v>3</v>
      </c>
      <c r="CK77" s="126" t="s">
        <v>10</v>
      </c>
      <c r="CL77" s="127" t="s">
        <v>11</v>
      </c>
      <c r="CM77" s="96"/>
      <c r="CN77" s="125" t="s">
        <v>1</v>
      </c>
      <c r="CO77" s="126" t="s">
        <v>2</v>
      </c>
      <c r="CP77" s="126" t="s">
        <v>72</v>
      </c>
      <c r="CQ77" s="126" t="s">
        <v>3</v>
      </c>
      <c r="CR77" s="126" t="s">
        <v>10</v>
      </c>
      <c r="CS77" s="127" t="s">
        <v>11</v>
      </c>
      <c r="CT77" s="96"/>
      <c r="CU77" s="125" t="s">
        <v>1</v>
      </c>
      <c r="CV77" s="126" t="s">
        <v>2</v>
      </c>
      <c r="CW77" s="126" t="s">
        <v>72</v>
      </c>
      <c r="CX77" s="126" t="s">
        <v>3</v>
      </c>
      <c r="CY77" s="126" t="s">
        <v>10</v>
      </c>
      <c r="CZ77" s="127" t="s">
        <v>11</v>
      </c>
      <c r="DA77" s="96"/>
      <c r="DB77" s="125" t="s">
        <v>1</v>
      </c>
      <c r="DC77" s="126" t="s">
        <v>2</v>
      </c>
      <c r="DD77" s="126" t="s">
        <v>72</v>
      </c>
      <c r="DE77" s="126" t="s">
        <v>3</v>
      </c>
      <c r="DF77" s="126" t="s">
        <v>10</v>
      </c>
      <c r="DG77" s="127" t="s">
        <v>11</v>
      </c>
    </row>
    <row r="78" spans="1:111" ht="15" customHeight="1">
      <c r="A78" s="88" t="str">
        <f>MATERIALES!B15</f>
        <v>AGU-001</v>
      </c>
      <c r="B78" s="71" t="s">
        <v>146</v>
      </c>
      <c r="C78" s="72">
        <v>0.19500000000000001</v>
      </c>
      <c r="D78" s="71" t="s">
        <v>17</v>
      </c>
      <c r="E78" s="73">
        <f>MATERIALES!E15</f>
        <v>10</v>
      </c>
      <c r="F78" s="74">
        <f t="shared" ref="F78:F84" si="0">C78*E78</f>
        <v>1.9500000000000002</v>
      </c>
      <c r="G78" s="96"/>
      <c r="H78" s="88" t="str">
        <f>MATERIALES!B15</f>
        <v>AGU-001</v>
      </c>
      <c r="I78" s="71" t="s">
        <v>146</v>
      </c>
      <c r="J78" s="72">
        <v>0.19</v>
      </c>
      <c r="K78" s="71" t="s">
        <v>17</v>
      </c>
      <c r="L78" s="73">
        <f>MATERIALES!E15</f>
        <v>10</v>
      </c>
      <c r="M78" s="74">
        <f t="shared" ref="M78:M84" si="1">J78*L78</f>
        <v>1.9</v>
      </c>
      <c r="N78" s="96"/>
      <c r="O78" s="88" t="str">
        <f>MATERIALES!B15</f>
        <v>AGU-001</v>
      </c>
      <c r="P78" s="71" t="s">
        <v>146</v>
      </c>
      <c r="Q78" s="72">
        <v>0.215</v>
      </c>
      <c r="R78" s="71" t="s">
        <v>17</v>
      </c>
      <c r="S78" s="73">
        <f>MATERIALES!E15</f>
        <v>10</v>
      </c>
      <c r="T78" s="74">
        <f t="shared" ref="T78:T84" si="2">Q78*S78</f>
        <v>2.15</v>
      </c>
      <c r="U78" s="96"/>
      <c r="V78" s="88" t="str">
        <f>MATERIALES!B15</f>
        <v>AGU-001</v>
      </c>
      <c r="W78" s="71" t="s">
        <v>146</v>
      </c>
      <c r="X78" s="100">
        <v>0.21</v>
      </c>
      <c r="Y78" s="71" t="s">
        <v>17</v>
      </c>
      <c r="Z78" s="73">
        <f>MATERIALES!E15</f>
        <v>10</v>
      </c>
      <c r="AA78" s="74">
        <f t="shared" ref="AA78:AA84" si="3">X78*Z78</f>
        <v>2.1</v>
      </c>
      <c r="AB78" s="96"/>
      <c r="AC78" s="88" t="str">
        <f>MATERIALES!B15</f>
        <v>AGU-001</v>
      </c>
      <c r="AD78" s="71" t="s">
        <v>146</v>
      </c>
      <c r="AE78" s="100">
        <v>0.21</v>
      </c>
      <c r="AF78" s="71" t="s">
        <v>17</v>
      </c>
      <c r="AG78" s="73">
        <f>MATERIALES!E15</f>
        <v>10</v>
      </c>
      <c r="AH78" s="74">
        <f t="shared" ref="AH78:AH84" si="4">AE78*AG78</f>
        <v>2.1</v>
      </c>
      <c r="AI78" s="96"/>
      <c r="AJ78" s="88" t="str">
        <f>MATERIALES!B15</f>
        <v>AGU-001</v>
      </c>
      <c r="AK78" s="71" t="s">
        <v>146</v>
      </c>
      <c r="AL78" s="100">
        <v>0.2</v>
      </c>
      <c r="AM78" s="71" t="s">
        <v>17</v>
      </c>
      <c r="AN78" s="73">
        <f>MATERIALES!E15</f>
        <v>10</v>
      </c>
      <c r="AO78" s="74">
        <f t="shared" ref="AO78:AO84" si="5">AL78*AN78</f>
        <v>2</v>
      </c>
      <c r="AP78" s="96"/>
      <c r="AQ78" s="88" t="str">
        <f>MATERIALES!B15</f>
        <v>AGU-001</v>
      </c>
      <c r="AR78" s="71" t="s">
        <v>146</v>
      </c>
      <c r="AS78" s="100">
        <v>0.23</v>
      </c>
      <c r="AT78" s="71" t="s">
        <v>17</v>
      </c>
      <c r="AU78" s="73">
        <f>MATERIALES!E15</f>
        <v>10</v>
      </c>
      <c r="AV78" s="74">
        <f t="shared" ref="AV78:AV84" si="6">AS78*AU78</f>
        <v>2.3000000000000003</v>
      </c>
      <c r="AW78" s="96"/>
      <c r="AX78" s="88" t="str">
        <f>MATERIALES!B15</f>
        <v>AGU-001</v>
      </c>
      <c r="AY78" s="71" t="s">
        <v>146</v>
      </c>
      <c r="AZ78" s="100">
        <v>0.22</v>
      </c>
      <c r="BA78" s="71" t="s">
        <v>17</v>
      </c>
      <c r="BB78" s="73">
        <f>MATERIALES!E15</f>
        <v>10</v>
      </c>
      <c r="BC78" s="74">
        <f t="shared" ref="BC78:BC84" si="7">AZ78*BB78</f>
        <v>2.2000000000000002</v>
      </c>
      <c r="BD78" s="96"/>
      <c r="BE78" s="268" t="str">
        <f>MATERIALES!B15</f>
        <v>AGU-001</v>
      </c>
      <c r="BF78" s="254" t="s">
        <v>146</v>
      </c>
      <c r="BG78" s="269">
        <v>0.19500000000000001</v>
      </c>
      <c r="BH78" s="254" t="s">
        <v>17</v>
      </c>
      <c r="BI78" s="255">
        <f>MATERIALES!E15</f>
        <v>10</v>
      </c>
      <c r="BJ78" s="256">
        <f t="shared" ref="BJ78:BJ84" si="8">BG78*BI78</f>
        <v>1.9500000000000002</v>
      </c>
      <c r="BK78" s="96"/>
      <c r="BL78" s="88" t="str">
        <f>MATERIALES!B15</f>
        <v>AGU-001</v>
      </c>
      <c r="BM78" s="71" t="s">
        <v>146</v>
      </c>
      <c r="BN78" s="72">
        <v>0.185</v>
      </c>
      <c r="BO78" s="71" t="s">
        <v>17</v>
      </c>
      <c r="BP78" s="73">
        <f>MATERIALES!E15</f>
        <v>10</v>
      </c>
      <c r="BQ78" s="74">
        <f t="shared" ref="BQ78:BQ84" si="9">BN78*BP78</f>
        <v>1.85</v>
      </c>
      <c r="BR78" s="96"/>
      <c r="BS78" s="88" t="str">
        <f>MATERIALES!B15</f>
        <v>AGU-001</v>
      </c>
      <c r="BT78" s="71" t="s">
        <v>146</v>
      </c>
      <c r="BU78" s="72">
        <v>0.215</v>
      </c>
      <c r="BV78" s="71" t="s">
        <v>17</v>
      </c>
      <c r="BW78" s="73">
        <f>MATERIALES!E15</f>
        <v>10</v>
      </c>
      <c r="BX78" s="74">
        <f t="shared" ref="BX78:BX84" si="10">BU78*BW78</f>
        <v>2.15</v>
      </c>
      <c r="BY78" s="96"/>
      <c r="BZ78" s="88" t="str">
        <f>MATERIALES!B15</f>
        <v>AGU-001</v>
      </c>
      <c r="CA78" s="71" t="s">
        <v>146</v>
      </c>
      <c r="CB78" s="72">
        <v>0.20499999999999999</v>
      </c>
      <c r="CC78" s="71" t="s">
        <v>17</v>
      </c>
      <c r="CD78" s="73">
        <f>MATERIALES!E15</f>
        <v>10</v>
      </c>
      <c r="CE78" s="74">
        <f t="shared" ref="CE78:CE84" si="11">CB78*CD78</f>
        <v>2.0499999999999998</v>
      </c>
      <c r="CF78" s="96"/>
      <c r="CG78" s="88" t="str">
        <f>MATERIALES!B15</f>
        <v>AGU-001</v>
      </c>
      <c r="CH78" s="71" t="s">
        <v>146</v>
      </c>
      <c r="CI78" s="100">
        <v>0.19</v>
      </c>
      <c r="CJ78" s="71" t="s">
        <v>17</v>
      </c>
      <c r="CK78" s="73">
        <f>MATERIALES!E15</f>
        <v>10</v>
      </c>
      <c r="CL78" s="74">
        <f t="shared" ref="CL78:CL84" si="12">CI78*CK78</f>
        <v>1.9</v>
      </c>
      <c r="CM78" s="96"/>
      <c r="CN78" s="88" t="str">
        <f>MATERIALES!B15</f>
        <v>AGU-001</v>
      </c>
      <c r="CO78" s="71" t="s">
        <v>146</v>
      </c>
      <c r="CP78" s="100">
        <v>0.18</v>
      </c>
      <c r="CQ78" s="71" t="s">
        <v>17</v>
      </c>
      <c r="CR78" s="73">
        <f>MATERIALES!E15</f>
        <v>10</v>
      </c>
      <c r="CS78" s="74">
        <f t="shared" ref="CS78:CS84" si="13">CP78*CR78</f>
        <v>1.7999999999999998</v>
      </c>
      <c r="CT78" s="96"/>
      <c r="CU78" s="88" t="str">
        <f>MATERIALES!B15</f>
        <v>AGU-001</v>
      </c>
      <c r="CV78" s="71" t="s">
        <v>146</v>
      </c>
      <c r="CW78" s="100">
        <v>0.21</v>
      </c>
      <c r="CX78" s="71" t="s">
        <v>17</v>
      </c>
      <c r="CY78" s="73">
        <f>MATERIALES!E15</f>
        <v>10</v>
      </c>
      <c r="CZ78" s="74">
        <f t="shared" ref="CZ78:CZ84" si="14">CW78*CY78</f>
        <v>2.1</v>
      </c>
      <c r="DA78" s="96"/>
      <c r="DB78" s="88" t="str">
        <f>MATERIALES!B15</f>
        <v>AGU-001</v>
      </c>
      <c r="DC78" s="71" t="s">
        <v>146</v>
      </c>
      <c r="DD78" s="100">
        <v>0.2</v>
      </c>
      <c r="DE78" s="71" t="s">
        <v>17</v>
      </c>
      <c r="DF78" s="73">
        <f>MATERIALES!E15</f>
        <v>10</v>
      </c>
      <c r="DG78" s="74">
        <f t="shared" ref="DG78:DG84" si="15">DD78*DF78</f>
        <v>2</v>
      </c>
    </row>
    <row r="79" spans="1:111" ht="15" customHeight="1">
      <c r="A79" s="101" t="str">
        <f>MATERIALES!B5</f>
        <v>CEM-001</v>
      </c>
      <c r="B79" s="75" t="s">
        <v>144</v>
      </c>
      <c r="C79" s="76">
        <v>0.26</v>
      </c>
      <c r="D79" s="75" t="s">
        <v>75</v>
      </c>
      <c r="E79" s="77">
        <f>E4</f>
        <v>3500</v>
      </c>
      <c r="F79" s="78">
        <f t="shared" si="0"/>
        <v>910</v>
      </c>
      <c r="G79" s="96"/>
      <c r="H79" s="101" t="str">
        <f>MATERIALES!B5</f>
        <v>CEM-001</v>
      </c>
      <c r="I79" s="75" t="s">
        <v>144</v>
      </c>
      <c r="J79" s="102">
        <v>0.254</v>
      </c>
      <c r="K79" s="75" t="s">
        <v>75</v>
      </c>
      <c r="L79" s="77">
        <f>MATERIALES!E5</f>
        <v>3500</v>
      </c>
      <c r="M79" s="78">
        <f t="shared" si="1"/>
        <v>889</v>
      </c>
      <c r="N79" s="96"/>
      <c r="O79" s="101" t="str">
        <f>MATERIALES!B5</f>
        <v>CEM-001</v>
      </c>
      <c r="P79" s="75" t="s">
        <v>144</v>
      </c>
      <c r="Q79" s="76">
        <v>0.28599999999999998</v>
      </c>
      <c r="R79" s="75" t="s">
        <v>75</v>
      </c>
      <c r="S79" s="77">
        <f>MATERIALES!E5</f>
        <v>3500</v>
      </c>
      <c r="T79" s="78">
        <f t="shared" si="2"/>
        <v>1000.9999999999999</v>
      </c>
      <c r="U79" s="96"/>
      <c r="V79" s="101" t="str">
        <f>MATERIALES!B5</f>
        <v>CEM-001</v>
      </c>
      <c r="W79" s="75" t="s">
        <v>144</v>
      </c>
      <c r="X79" s="102">
        <v>0.28000000000000003</v>
      </c>
      <c r="Y79" s="75" t="s">
        <v>75</v>
      </c>
      <c r="Z79" s="77">
        <f>MATERIALES!E5</f>
        <v>3500</v>
      </c>
      <c r="AA79" s="78">
        <f t="shared" si="3"/>
        <v>980.00000000000011</v>
      </c>
      <c r="AB79" s="96"/>
      <c r="AC79" s="101" t="str">
        <f>MATERIALES!B5</f>
        <v>CEM-001</v>
      </c>
      <c r="AD79" s="75" t="s">
        <v>144</v>
      </c>
      <c r="AE79" s="76">
        <v>0.32300000000000001</v>
      </c>
      <c r="AF79" s="75" t="s">
        <v>75</v>
      </c>
      <c r="AG79" s="77">
        <f>MATERIALES!E5</f>
        <v>3500</v>
      </c>
      <c r="AH79" s="78">
        <f t="shared" si="4"/>
        <v>1130.5</v>
      </c>
      <c r="AI79" s="96"/>
      <c r="AJ79" s="101" t="str">
        <f>MATERIALES!B5</f>
        <v>CEM-001</v>
      </c>
      <c r="AK79" s="75" t="s">
        <v>144</v>
      </c>
      <c r="AL79" s="76">
        <v>0.308</v>
      </c>
      <c r="AM79" s="75" t="s">
        <v>75</v>
      </c>
      <c r="AN79" s="77">
        <f>MATERIALES!E5</f>
        <v>3500</v>
      </c>
      <c r="AO79" s="78">
        <f t="shared" si="5"/>
        <v>1078</v>
      </c>
      <c r="AP79" s="96"/>
      <c r="AQ79" s="101" t="str">
        <f>MATERIALES!B5</f>
        <v>CEM-001</v>
      </c>
      <c r="AR79" s="75" t="s">
        <v>144</v>
      </c>
      <c r="AS79" s="76">
        <v>0.35399999999999998</v>
      </c>
      <c r="AT79" s="75" t="s">
        <v>75</v>
      </c>
      <c r="AU79" s="77">
        <f>MATERIALES!E5</f>
        <v>3500</v>
      </c>
      <c r="AV79" s="78">
        <f t="shared" si="6"/>
        <v>1239</v>
      </c>
      <c r="AW79" s="96"/>
      <c r="AX79" s="101" t="str">
        <f>MATERIALES!B5</f>
        <v>CEM-001</v>
      </c>
      <c r="AY79" s="75" t="s">
        <v>144</v>
      </c>
      <c r="AZ79" s="76">
        <v>0.33800000000000002</v>
      </c>
      <c r="BA79" s="75" t="s">
        <v>75</v>
      </c>
      <c r="BB79" s="77">
        <f>MATERIALES!E5</f>
        <v>3500</v>
      </c>
      <c r="BC79" s="78">
        <f t="shared" si="7"/>
        <v>1183</v>
      </c>
      <c r="BD79" s="96"/>
      <c r="BE79" s="261" t="str">
        <f>MATERIALES!B5</f>
        <v>CEM-001</v>
      </c>
      <c r="BF79" s="258" t="s">
        <v>144</v>
      </c>
      <c r="BG79" s="257">
        <v>0.33500000000000002</v>
      </c>
      <c r="BH79" s="258" t="s">
        <v>75</v>
      </c>
      <c r="BI79" s="259">
        <f>MATERIALES!E5</f>
        <v>3500</v>
      </c>
      <c r="BJ79" s="260">
        <f t="shared" si="8"/>
        <v>1172.5</v>
      </c>
      <c r="BK79" s="96"/>
      <c r="BL79" s="101" t="str">
        <f>MATERIALES!B5</f>
        <v>CEM-001</v>
      </c>
      <c r="BM79" s="75" t="s">
        <v>144</v>
      </c>
      <c r="BN79" s="76">
        <v>0.33700000000000002</v>
      </c>
      <c r="BO79" s="75" t="s">
        <v>75</v>
      </c>
      <c r="BP79" s="77">
        <f>MATERIALES!E5</f>
        <v>3500</v>
      </c>
      <c r="BQ79" s="78">
        <f t="shared" si="9"/>
        <v>1179.5</v>
      </c>
      <c r="BR79" s="96"/>
      <c r="BS79" s="101" t="str">
        <f>MATERIALES!B5</f>
        <v>CEM-001</v>
      </c>
      <c r="BT79" s="75" t="s">
        <v>144</v>
      </c>
      <c r="BU79" s="76">
        <v>0.39100000000000001</v>
      </c>
      <c r="BV79" s="75" t="s">
        <v>75</v>
      </c>
      <c r="BW79" s="77">
        <f>MATERIALES!E5</f>
        <v>3500</v>
      </c>
      <c r="BX79" s="78">
        <f t="shared" si="10"/>
        <v>1368.5</v>
      </c>
      <c r="BY79" s="96"/>
      <c r="BZ79" s="101" t="str">
        <f>MATERIALES!B5</f>
        <v>CEM-001</v>
      </c>
      <c r="CA79" s="75" t="s">
        <v>144</v>
      </c>
      <c r="CB79" s="76">
        <v>0.373</v>
      </c>
      <c r="CC79" s="75" t="s">
        <v>75</v>
      </c>
      <c r="CD79" s="77">
        <f>MATERIALES!E5</f>
        <v>3500</v>
      </c>
      <c r="CE79" s="78">
        <f t="shared" si="11"/>
        <v>1305.5</v>
      </c>
      <c r="CF79" s="96"/>
      <c r="CG79" s="101" t="str">
        <f>MATERIALES!B5</f>
        <v>CEM-001</v>
      </c>
      <c r="CH79" s="75" t="s">
        <v>144</v>
      </c>
      <c r="CI79" s="76">
        <v>0.42299999999999999</v>
      </c>
      <c r="CJ79" s="75" t="s">
        <v>75</v>
      </c>
      <c r="CK79" s="77">
        <f>MATERIALES!E5</f>
        <v>3500</v>
      </c>
      <c r="CL79" s="78">
        <f t="shared" si="12"/>
        <v>1480.5</v>
      </c>
      <c r="CM79" s="96"/>
      <c r="CN79" s="101" t="str">
        <f>MATERIALES!B5</f>
        <v>CEM-001</v>
      </c>
      <c r="CO79" s="75" t="s">
        <v>144</v>
      </c>
      <c r="CP79" s="102">
        <v>0.4</v>
      </c>
      <c r="CQ79" s="75" t="s">
        <v>75</v>
      </c>
      <c r="CR79" s="77">
        <f>MATERIALES!E5</f>
        <v>3500</v>
      </c>
      <c r="CS79" s="78">
        <f t="shared" si="13"/>
        <v>1400</v>
      </c>
      <c r="CT79" s="96"/>
      <c r="CU79" s="101" t="str">
        <f>MATERIALES!B5</f>
        <v>CEM-001</v>
      </c>
      <c r="CV79" s="75" t="s">
        <v>144</v>
      </c>
      <c r="CW79" s="76">
        <v>0.46700000000000003</v>
      </c>
      <c r="CX79" s="75" t="s">
        <v>75</v>
      </c>
      <c r="CY79" s="77">
        <f>MATERIALES!E5</f>
        <v>3500</v>
      </c>
      <c r="CZ79" s="78">
        <f t="shared" si="14"/>
        <v>1634.5</v>
      </c>
      <c r="DA79" s="96"/>
      <c r="DB79" s="101" t="str">
        <f>MATERIALES!B5</f>
        <v>CEM-001</v>
      </c>
      <c r="DC79" s="75" t="s">
        <v>144</v>
      </c>
      <c r="DD79" s="76">
        <v>0.44500000000000001</v>
      </c>
      <c r="DE79" s="75" t="s">
        <v>75</v>
      </c>
      <c r="DF79" s="77">
        <f>MATERIALES!E5</f>
        <v>3500</v>
      </c>
      <c r="DG79" s="78">
        <f t="shared" si="15"/>
        <v>1557.5</v>
      </c>
    </row>
    <row r="80" spans="1:111" ht="15" customHeight="1">
      <c r="A80" s="101" t="str">
        <f>MATERIALES!B8</f>
        <v>ARE-001</v>
      </c>
      <c r="B80" s="75" t="s">
        <v>145</v>
      </c>
      <c r="C80" s="76">
        <v>0.5</v>
      </c>
      <c r="D80" s="75" t="s">
        <v>17</v>
      </c>
      <c r="E80" s="77">
        <f>E5</f>
        <v>189</v>
      </c>
      <c r="F80" s="78">
        <f t="shared" si="0"/>
        <v>94.5</v>
      </c>
      <c r="G80" s="96"/>
      <c r="H80" s="101" t="str">
        <f>MATERIALES!B8</f>
        <v>ARE-001</v>
      </c>
      <c r="I80" s="75" t="s">
        <v>145</v>
      </c>
      <c r="J80" s="102">
        <v>0.47</v>
      </c>
      <c r="K80" s="75" t="s">
        <v>17</v>
      </c>
      <c r="L80" s="77">
        <f>MATERIALES!E8</f>
        <v>189</v>
      </c>
      <c r="M80" s="78">
        <f t="shared" si="1"/>
        <v>88.83</v>
      </c>
      <c r="N80" s="96"/>
      <c r="O80" s="101" t="s">
        <v>76</v>
      </c>
      <c r="P80" s="75" t="s">
        <v>145</v>
      </c>
      <c r="Q80" s="76">
        <v>0.5</v>
      </c>
      <c r="R80" s="75" t="s">
        <v>17</v>
      </c>
      <c r="S80" s="77">
        <f>MATERIALES!E8</f>
        <v>189</v>
      </c>
      <c r="T80" s="78">
        <f t="shared" si="2"/>
        <v>94.5</v>
      </c>
      <c r="U80" s="96"/>
      <c r="V80" s="101" t="s">
        <v>76</v>
      </c>
      <c r="W80" s="75" t="s">
        <v>145</v>
      </c>
      <c r="X80" s="102">
        <v>0.47</v>
      </c>
      <c r="Y80" s="75" t="s">
        <v>17</v>
      </c>
      <c r="Z80" s="77">
        <f>MATERIALES!E8</f>
        <v>189</v>
      </c>
      <c r="AA80" s="78">
        <f t="shared" si="3"/>
        <v>88.83</v>
      </c>
      <c r="AB80" s="96"/>
      <c r="AC80" s="101" t="s">
        <v>76</v>
      </c>
      <c r="AD80" s="75" t="s">
        <v>145</v>
      </c>
      <c r="AE80" s="102">
        <v>0.48</v>
      </c>
      <c r="AF80" s="75" t="s">
        <v>17</v>
      </c>
      <c r="AG80" s="77">
        <f>MATERIALES!E8</f>
        <v>189</v>
      </c>
      <c r="AH80" s="78">
        <f t="shared" si="4"/>
        <v>90.72</v>
      </c>
      <c r="AI80" s="96"/>
      <c r="AJ80" s="101" t="s">
        <v>76</v>
      </c>
      <c r="AK80" s="75" t="s">
        <v>145</v>
      </c>
      <c r="AL80" s="102">
        <v>0.45</v>
      </c>
      <c r="AM80" s="75" t="s">
        <v>17</v>
      </c>
      <c r="AN80" s="77">
        <f>MATERIALES!E8</f>
        <v>189</v>
      </c>
      <c r="AO80" s="78">
        <f t="shared" si="5"/>
        <v>85.05</v>
      </c>
      <c r="AP80" s="96"/>
      <c r="AQ80" s="101" t="s">
        <v>76</v>
      </c>
      <c r="AR80" s="75" t="s">
        <v>145</v>
      </c>
      <c r="AS80" s="102">
        <v>0.48</v>
      </c>
      <c r="AT80" s="75" t="s">
        <v>17</v>
      </c>
      <c r="AU80" s="77">
        <f>MATERIALES!E8</f>
        <v>189</v>
      </c>
      <c r="AV80" s="78">
        <f t="shared" si="6"/>
        <v>90.72</v>
      </c>
      <c r="AW80" s="96"/>
      <c r="AX80" s="101" t="s">
        <v>76</v>
      </c>
      <c r="AY80" s="75" t="s">
        <v>145</v>
      </c>
      <c r="AZ80" s="102">
        <v>0.45</v>
      </c>
      <c r="BA80" s="75" t="s">
        <v>17</v>
      </c>
      <c r="BB80" s="77">
        <f>MATERIALES!E8</f>
        <v>189</v>
      </c>
      <c r="BC80" s="78">
        <f t="shared" si="7"/>
        <v>85.05</v>
      </c>
      <c r="BD80" s="96"/>
      <c r="BE80" s="261" t="s">
        <v>76</v>
      </c>
      <c r="BF80" s="258" t="s">
        <v>145</v>
      </c>
      <c r="BG80" s="265">
        <v>0.47</v>
      </c>
      <c r="BH80" s="258" t="s">
        <v>17</v>
      </c>
      <c r="BI80" s="259">
        <f>MATERIALES!E8</f>
        <v>189</v>
      </c>
      <c r="BJ80" s="260">
        <f t="shared" si="8"/>
        <v>88.83</v>
      </c>
      <c r="BK80" s="96"/>
      <c r="BL80" s="101" t="s">
        <v>76</v>
      </c>
      <c r="BM80" s="75" t="s">
        <v>145</v>
      </c>
      <c r="BN80" s="102">
        <v>0.44</v>
      </c>
      <c r="BO80" s="75" t="s">
        <v>17</v>
      </c>
      <c r="BP80" s="77">
        <f>MATERIALES!E8</f>
        <v>189</v>
      </c>
      <c r="BQ80" s="78">
        <f t="shared" si="9"/>
        <v>83.16</v>
      </c>
      <c r="BR80" s="96"/>
      <c r="BS80" s="101" t="s">
        <v>76</v>
      </c>
      <c r="BT80" s="75" t="s">
        <v>145</v>
      </c>
      <c r="BU80" s="102">
        <v>0.47</v>
      </c>
      <c r="BV80" s="75" t="s">
        <v>17</v>
      </c>
      <c r="BW80" s="77">
        <f>MATERIALES!E8</f>
        <v>189</v>
      </c>
      <c r="BX80" s="78">
        <f t="shared" si="10"/>
        <v>88.83</v>
      </c>
      <c r="BY80" s="96"/>
      <c r="BZ80" s="101" t="s">
        <v>76</v>
      </c>
      <c r="CA80" s="75" t="s">
        <v>145</v>
      </c>
      <c r="CB80" s="102">
        <v>0.44</v>
      </c>
      <c r="CC80" s="75" t="s">
        <v>17</v>
      </c>
      <c r="CD80" s="77">
        <f>MATERIALES!E8</f>
        <v>189</v>
      </c>
      <c r="CE80" s="78">
        <f t="shared" si="11"/>
        <v>83.16</v>
      </c>
      <c r="CF80" s="96"/>
      <c r="CG80" s="101" t="s">
        <v>76</v>
      </c>
      <c r="CH80" s="75" t="s">
        <v>145</v>
      </c>
      <c r="CI80" s="76">
        <v>0.46500000000000002</v>
      </c>
      <c r="CJ80" s="75" t="s">
        <v>17</v>
      </c>
      <c r="CK80" s="77">
        <f>MATERIALES!E8</f>
        <v>189</v>
      </c>
      <c r="CL80" s="78">
        <f t="shared" si="12"/>
        <v>87.885000000000005</v>
      </c>
      <c r="CM80" s="96"/>
      <c r="CN80" s="101" t="s">
        <v>76</v>
      </c>
      <c r="CO80" s="75" t="s">
        <v>145</v>
      </c>
      <c r="CP80" s="76">
        <v>0.435</v>
      </c>
      <c r="CQ80" s="75" t="s">
        <v>17</v>
      </c>
      <c r="CR80" s="77">
        <f>MATERIALES!E8</f>
        <v>189</v>
      </c>
      <c r="CS80" s="78">
        <f t="shared" si="13"/>
        <v>82.215000000000003</v>
      </c>
      <c r="CT80" s="96"/>
      <c r="CU80" s="101" t="s">
        <v>76</v>
      </c>
      <c r="CV80" s="75" t="s">
        <v>145</v>
      </c>
      <c r="CW80" s="76">
        <v>0.46500000000000002</v>
      </c>
      <c r="CX80" s="75" t="s">
        <v>17</v>
      </c>
      <c r="CY80" s="77">
        <f>MATERIALES!E8</f>
        <v>189</v>
      </c>
      <c r="CZ80" s="78">
        <f t="shared" si="14"/>
        <v>87.885000000000005</v>
      </c>
      <c r="DA80" s="96"/>
      <c r="DB80" s="101" t="s">
        <v>76</v>
      </c>
      <c r="DC80" s="75" t="s">
        <v>145</v>
      </c>
      <c r="DD80" s="76">
        <v>0.435</v>
      </c>
      <c r="DE80" s="75" t="s">
        <v>17</v>
      </c>
      <c r="DF80" s="77">
        <f>MATERIALES!E8</f>
        <v>189</v>
      </c>
      <c r="DG80" s="78">
        <f t="shared" si="15"/>
        <v>82.215000000000003</v>
      </c>
    </row>
    <row r="81" spans="1:111" ht="15" customHeight="1">
      <c r="A81" s="101" t="s">
        <v>192</v>
      </c>
      <c r="B81" s="75" t="s">
        <v>193</v>
      </c>
      <c r="C81" s="76">
        <v>0.68</v>
      </c>
      <c r="D81" s="75" t="s">
        <v>17</v>
      </c>
      <c r="E81" s="77">
        <f>MATERIALES!E9</f>
        <v>470</v>
      </c>
      <c r="F81" s="78">
        <f t="shared" si="0"/>
        <v>319.60000000000002</v>
      </c>
      <c r="G81" s="96"/>
      <c r="H81" s="101" t="s">
        <v>192</v>
      </c>
      <c r="I81" s="75" t="s">
        <v>193</v>
      </c>
      <c r="J81" s="102">
        <v>0.7</v>
      </c>
      <c r="K81" s="75" t="s">
        <v>17</v>
      </c>
      <c r="L81" s="77">
        <f>MATERIALES!E9</f>
        <v>470</v>
      </c>
      <c r="M81" s="78">
        <f t="shared" si="1"/>
        <v>329</v>
      </c>
      <c r="N81" s="96"/>
      <c r="O81" s="101" t="s">
        <v>192</v>
      </c>
      <c r="P81" s="75" t="s">
        <v>193</v>
      </c>
      <c r="Q81" s="76">
        <v>0.68</v>
      </c>
      <c r="R81" s="75" t="s">
        <v>17</v>
      </c>
      <c r="S81" s="77">
        <f>MATERIALES!E9</f>
        <v>470</v>
      </c>
      <c r="T81" s="78">
        <f t="shared" si="2"/>
        <v>319.60000000000002</v>
      </c>
      <c r="U81" s="96"/>
      <c r="V81" s="101" t="s">
        <v>192</v>
      </c>
      <c r="W81" s="75" t="s">
        <v>193</v>
      </c>
      <c r="X81" s="102">
        <v>0.7</v>
      </c>
      <c r="Y81" s="75" t="s">
        <v>17</v>
      </c>
      <c r="Z81" s="77">
        <f>MATERIALES!E9</f>
        <v>470</v>
      </c>
      <c r="AA81" s="78">
        <f t="shared" si="3"/>
        <v>329</v>
      </c>
      <c r="AB81" s="96"/>
      <c r="AC81" s="101" t="s">
        <v>192</v>
      </c>
      <c r="AD81" s="75" t="s">
        <v>193</v>
      </c>
      <c r="AE81" s="102">
        <v>0.67</v>
      </c>
      <c r="AF81" s="75" t="s">
        <v>17</v>
      </c>
      <c r="AG81" s="77">
        <f>MATERIALES!E9</f>
        <v>470</v>
      </c>
      <c r="AH81" s="78">
        <f t="shared" si="4"/>
        <v>314.90000000000003</v>
      </c>
      <c r="AI81" s="96"/>
      <c r="AJ81" s="101" t="s">
        <v>192</v>
      </c>
      <c r="AK81" s="75" t="s">
        <v>193</v>
      </c>
      <c r="AL81" s="102">
        <v>0.7</v>
      </c>
      <c r="AM81" s="75" t="s">
        <v>17</v>
      </c>
      <c r="AN81" s="77">
        <f>MATERIALES!E9</f>
        <v>470</v>
      </c>
      <c r="AO81" s="78">
        <f t="shared" si="5"/>
        <v>329</v>
      </c>
      <c r="AP81" s="96"/>
      <c r="AQ81" s="101" t="s">
        <v>192</v>
      </c>
      <c r="AR81" s="75" t="s">
        <v>193</v>
      </c>
      <c r="AS81" s="102">
        <v>0.67</v>
      </c>
      <c r="AT81" s="75" t="s">
        <v>17</v>
      </c>
      <c r="AU81" s="77">
        <f>MATERIALES!E9</f>
        <v>470</v>
      </c>
      <c r="AV81" s="78">
        <f t="shared" si="6"/>
        <v>314.90000000000003</v>
      </c>
      <c r="AW81" s="96"/>
      <c r="AX81" s="101" t="s">
        <v>192</v>
      </c>
      <c r="AY81" s="75" t="s">
        <v>193</v>
      </c>
      <c r="AZ81" s="102">
        <v>0.7</v>
      </c>
      <c r="BA81" s="75" t="s">
        <v>17</v>
      </c>
      <c r="BB81" s="77">
        <f>MATERIALES!E9</f>
        <v>470</v>
      </c>
      <c r="BC81" s="78">
        <f t="shared" si="7"/>
        <v>329</v>
      </c>
      <c r="BD81" s="96"/>
      <c r="BE81" s="261" t="s">
        <v>192</v>
      </c>
      <c r="BF81" s="258" t="s">
        <v>193</v>
      </c>
      <c r="BG81" s="265">
        <v>0.65</v>
      </c>
      <c r="BH81" s="258" t="s">
        <v>17</v>
      </c>
      <c r="BI81" s="259">
        <f>MATERIALES!E9</f>
        <v>470</v>
      </c>
      <c r="BJ81" s="260">
        <f t="shared" si="8"/>
        <v>305.5</v>
      </c>
      <c r="BK81" s="96"/>
      <c r="BL81" s="101" t="s">
        <v>192</v>
      </c>
      <c r="BM81" s="75" t="s">
        <v>193</v>
      </c>
      <c r="BN81" s="102">
        <v>0.68</v>
      </c>
      <c r="BO81" s="75" t="s">
        <v>17</v>
      </c>
      <c r="BP81" s="77">
        <f>MATERIALES!E9</f>
        <v>470</v>
      </c>
      <c r="BQ81" s="78">
        <f t="shared" si="9"/>
        <v>319.60000000000002</v>
      </c>
      <c r="BR81" s="96"/>
      <c r="BS81" s="101" t="s">
        <v>192</v>
      </c>
      <c r="BT81" s="75" t="s">
        <v>193</v>
      </c>
      <c r="BU81" s="102">
        <v>0.65</v>
      </c>
      <c r="BV81" s="75" t="s">
        <v>17</v>
      </c>
      <c r="BW81" s="77">
        <f>MATERIALES!E9</f>
        <v>470</v>
      </c>
      <c r="BX81" s="78">
        <f t="shared" si="10"/>
        <v>305.5</v>
      </c>
      <c r="BY81" s="96"/>
      <c r="BZ81" s="101" t="s">
        <v>192</v>
      </c>
      <c r="CA81" s="75" t="s">
        <v>193</v>
      </c>
      <c r="CB81" s="102">
        <v>0.68</v>
      </c>
      <c r="CC81" s="75" t="s">
        <v>17</v>
      </c>
      <c r="CD81" s="77">
        <f>MATERIALES!E9</f>
        <v>470</v>
      </c>
      <c r="CE81" s="78">
        <f t="shared" si="11"/>
        <v>319.60000000000002</v>
      </c>
      <c r="CF81" s="96"/>
      <c r="CG81" s="101" t="s">
        <v>192</v>
      </c>
      <c r="CH81" s="75" t="s">
        <v>193</v>
      </c>
      <c r="CI81" s="102">
        <v>0.64</v>
      </c>
      <c r="CJ81" s="75" t="s">
        <v>17</v>
      </c>
      <c r="CK81" s="77">
        <f>MATERIALES!E9</f>
        <v>470</v>
      </c>
      <c r="CL81" s="78">
        <f t="shared" si="12"/>
        <v>300.8</v>
      </c>
      <c r="CM81" s="96"/>
      <c r="CN81" s="101" t="s">
        <v>192</v>
      </c>
      <c r="CO81" s="75" t="s">
        <v>193</v>
      </c>
      <c r="CP81" s="102">
        <v>0.67</v>
      </c>
      <c r="CQ81" s="75" t="s">
        <v>17</v>
      </c>
      <c r="CR81" s="77">
        <f>MATERIALES!E9</f>
        <v>470</v>
      </c>
      <c r="CS81" s="78">
        <f t="shared" si="13"/>
        <v>314.90000000000003</v>
      </c>
      <c r="CT81" s="96"/>
      <c r="CU81" s="101" t="s">
        <v>192</v>
      </c>
      <c r="CV81" s="75" t="s">
        <v>193</v>
      </c>
      <c r="CW81" s="102">
        <v>0.64</v>
      </c>
      <c r="CX81" s="75" t="s">
        <v>17</v>
      </c>
      <c r="CY81" s="77">
        <f>MATERIALES!E9</f>
        <v>470</v>
      </c>
      <c r="CZ81" s="78">
        <f t="shared" si="14"/>
        <v>300.8</v>
      </c>
      <c r="DA81" s="96"/>
      <c r="DB81" s="101" t="s">
        <v>192</v>
      </c>
      <c r="DC81" s="75" t="s">
        <v>193</v>
      </c>
      <c r="DD81" s="102">
        <v>0.67</v>
      </c>
      <c r="DE81" s="75" t="s">
        <v>17</v>
      </c>
      <c r="DF81" s="77">
        <f>MATERIALES!E9</f>
        <v>470</v>
      </c>
      <c r="DG81" s="78">
        <f t="shared" si="15"/>
        <v>314.90000000000003</v>
      </c>
    </row>
    <row r="82" spans="1:111" ht="45" customHeight="1">
      <c r="A82" s="128" t="s">
        <v>194</v>
      </c>
      <c r="B82" s="129" t="s">
        <v>195</v>
      </c>
      <c r="C82" s="130">
        <v>0.15379999999999999</v>
      </c>
      <c r="D82" s="131" t="s">
        <v>21</v>
      </c>
      <c r="E82" s="132">
        <f>'ANÁLISIS CUADRILLAS'!F28</f>
        <v>3035.0894980000003</v>
      </c>
      <c r="F82" s="78">
        <f t="shared" si="0"/>
        <v>466.79676479240004</v>
      </c>
      <c r="G82" s="96"/>
      <c r="H82" s="101" t="s">
        <v>194</v>
      </c>
      <c r="I82" s="133" t="s">
        <v>195</v>
      </c>
      <c r="J82" s="130">
        <v>0.15379999999999999</v>
      </c>
      <c r="K82" s="75" t="s">
        <v>21</v>
      </c>
      <c r="L82" s="77">
        <f>'ANÁLISIS CUADRILLAS'!F28</f>
        <v>3035.0894980000003</v>
      </c>
      <c r="M82" s="78">
        <f t="shared" si="1"/>
        <v>466.79676479240004</v>
      </c>
      <c r="N82" s="96"/>
      <c r="O82" s="101" t="s">
        <v>194</v>
      </c>
      <c r="P82" s="133" t="s">
        <v>195</v>
      </c>
      <c r="Q82" s="130">
        <v>0.15379999999999999</v>
      </c>
      <c r="R82" s="75" t="s">
        <v>21</v>
      </c>
      <c r="S82" s="77">
        <f>'ANÁLISIS CUADRILLAS'!F28</f>
        <v>3035.0894980000003</v>
      </c>
      <c r="T82" s="78">
        <f t="shared" si="2"/>
        <v>466.79676479240004</v>
      </c>
      <c r="U82" s="96"/>
      <c r="V82" s="101" t="s">
        <v>194</v>
      </c>
      <c r="W82" s="133" t="s">
        <v>195</v>
      </c>
      <c r="X82" s="130">
        <v>0.15379999999999999</v>
      </c>
      <c r="Y82" s="75" t="s">
        <v>21</v>
      </c>
      <c r="Z82" s="77">
        <f>'ANÁLISIS CUADRILLAS'!F28</f>
        <v>3035.0894980000003</v>
      </c>
      <c r="AA82" s="78">
        <f t="shared" si="3"/>
        <v>466.79676479240004</v>
      </c>
      <c r="AB82" s="96"/>
      <c r="AC82" s="101" t="s">
        <v>194</v>
      </c>
      <c r="AD82" s="133" t="s">
        <v>195</v>
      </c>
      <c r="AE82" s="130">
        <v>0.15379999999999999</v>
      </c>
      <c r="AF82" s="75" t="s">
        <v>21</v>
      </c>
      <c r="AG82" s="77">
        <f>'ANÁLISIS CUADRILLAS'!F28</f>
        <v>3035.0894980000003</v>
      </c>
      <c r="AH82" s="78">
        <f t="shared" si="4"/>
        <v>466.79676479240004</v>
      </c>
      <c r="AI82" s="96"/>
      <c r="AJ82" s="101" t="s">
        <v>194</v>
      </c>
      <c r="AK82" s="133" t="s">
        <v>195</v>
      </c>
      <c r="AL82" s="130">
        <v>0.15379999999999999</v>
      </c>
      <c r="AM82" s="75" t="s">
        <v>21</v>
      </c>
      <c r="AN82" s="77">
        <f>'ANÁLISIS CUADRILLAS'!F28</f>
        <v>3035.0894980000003</v>
      </c>
      <c r="AO82" s="78">
        <f t="shared" si="5"/>
        <v>466.79676479240004</v>
      </c>
      <c r="AP82" s="96"/>
      <c r="AQ82" s="101" t="s">
        <v>194</v>
      </c>
      <c r="AR82" s="133" t="s">
        <v>195</v>
      </c>
      <c r="AS82" s="130">
        <v>0.15379999999999999</v>
      </c>
      <c r="AT82" s="75" t="s">
        <v>21</v>
      </c>
      <c r="AU82" s="77">
        <f>'ANÁLISIS CUADRILLAS'!F28</f>
        <v>3035.0894980000003</v>
      </c>
      <c r="AV82" s="78">
        <f t="shared" si="6"/>
        <v>466.79676479240004</v>
      </c>
      <c r="AW82" s="96"/>
      <c r="AX82" s="101" t="s">
        <v>194</v>
      </c>
      <c r="AY82" s="133" t="s">
        <v>195</v>
      </c>
      <c r="AZ82" s="130">
        <v>0.15379999999999999</v>
      </c>
      <c r="BA82" s="75" t="s">
        <v>21</v>
      </c>
      <c r="BB82" s="77">
        <f>'ANÁLISIS CUADRILLAS'!F28</f>
        <v>3035.0894980000003</v>
      </c>
      <c r="BC82" s="78">
        <f t="shared" si="7"/>
        <v>466.79676479240004</v>
      </c>
      <c r="BD82" s="96"/>
      <c r="BE82" s="261" t="s">
        <v>194</v>
      </c>
      <c r="BF82" s="270" t="s">
        <v>195</v>
      </c>
      <c r="BG82" s="271">
        <v>0.15379999999999999</v>
      </c>
      <c r="BH82" s="258" t="s">
        <v>21</v>
      </c>
      <c r="BI82" s="259">
        <f>'ANÁLISIS CUADRILLAS'!F28</f>
        <v>3035.0894980000003</v>
      </c>
      <c r="BJ82" s="260">
        <f t="shared" si="8"/>
        <v>466.79676479240004</v>
      </c>
      <c r="BK82" s="96"/>
      <c r="BL82" s="101" t="s">
        <v>194</v>
      </c>
      <c r="BM82" s="133" t="s">
        <v>195</v>
      </c>
      <c r="BN82" s="130">
        <v>0.15379999999999999</v>
      </c>
      <c r="BO82" s="75" t="s">
        <v>21</v>
      </c>
      <c r="BP82" s="77">
        <f>'ANÁLISIS CUADRILLAS'!F28</f>
        <v>3035.0894980000003</v>
      </c>
      <c r="BQ82" s="78">
        <f t="shared" si="9"/>
        <v>466.79676479240004</v>
      </c>
      <c r="BR82" s="96"/>
      <c r="BS82" s="101" t="s">
        <v>194</v>
      </c>
      <c r="BT82" s="133" t="s">
        <v>195</v>
      </c>
      <c r="BU82" s="130">
        <v>0.15379999999999999</v>
      </c>
      <c r="BV82" s="75" t="s">
        <v>21</v>
      </c>
      <c r="BW82" s="77">
        <f>'ANÁLISIS CUADRILLAS'!F28</f>
        <v>3035.0894980000003</v>
      </c>
      <c r="BX82" s="78">
        <f t="shared" si="10"/>
        <v>466.79676479240004</v>
      </c>
      <c r="BY82" s="96"/>
      <c r="BZ82" s="101" t="s">
        <v>194</v>
      </c>
      <c r="CA82" s="133" t="s">
        <v>195</v>
      </c>
      <c r="CB82" s="130">
        <v>0.15379999999999999</v>
      </c>
      <c r="CC82" s="75" t="s">
        <v>21</v>
      </c>
      <c r="CD82" s="77">
        <f>'ANÁLISIS CUADRILLAS'!F28</f>
        <v>3035.0894980000003</v>
      </c>
      <c r="CE82" s="78">
        <f t="shared" si="11"/>
        <v>466.79676479240004</v>
      </c>
      <c r="CF82" s="96"/>
      <c r="CG82" s="101" t="s">
        <v>194</v>
      </c>
      <c r="CH82" s="133" t="s">
        <v>195</v>
      </c>
      <c r="CI82" s="130">
        <v>0.15379999999999999</v>
      </c>
      <c r="CJ82" s="75" t="s">
        <v>21</v>
      </c>
      <c r="CK82" s="77">
        <f>'ANÁLISIS CUADRILLAS'!F28</f>
        <v>3035.0894980000003</v>
      </c>
      <c r="CL82" s="78">
        <f t="shared" si="12"/>
        <v>466.79676479240004</v>
      </c>
      <c r="CM82" s="96"/>
      <c r="CN82" s="101" t="s">
        <v>194</v>
      </c>
      <c r="CO82" s="133" t="s">
        <v>195</v>
      </c>
      <c r="CP82" s="130">
        <v>0.15379999999999999</v>
      </c>
      <c r="CQ82" s="75" t="s">
        <v>21</v>
      </c>
      <c r="CR82" s="77">
        <f>'ANÁLISIS CUADRILLAS'!F28</f>
        <v>3035.0894980000003</v>
      </c>
      <c r="CS82" s="78">
        <f t="shared" si="13"/>
        <v>466.79676479240004</v>
      </c>
      <c r="CT82" s="96"/>
      <c r="CU82" s="101" t="s">
        <v>194</v>
      </c>
      <c r="CV82" s="133" t="s">
        <v>195</v>
      </c>
      <c r="CW82" s="130">
        <v>0.15379999999999999</v>
      </c>
      <c r="CX82" s="75" t="s">
        <v>21</v>
      </c>
      <c r="CY82" s="77">
        <f>'ANÁLISIS CUADRILLAS'!F28</f>
        <v>3035.0894980000003</v>
      </c>
      <c r="CZ82" s="78">
        <f t="shared" si="14"/>
        <v>466.79676479240004</v>
      </c>
      <c r="DA82" s="96"/>
      <c r="DB82" s="101" t="s">
        <v>194</v>
      </c>
      <c r="DC82" s="133" t="s">
        <v>195</v>
      </c>
      <c r="DD82" s="130">
        <v>0.15379999999999999</v>
      </c>
      <c r="DE82" s="75" t="s">
        <v>21</v>
      </c>
      <c r="DF82" s="77">
        <f>'ANÁLISIS CUADRILLAS'!F28</f>
        <v>3035.0894980000003</v>
      </c>
      <c r="DG82" s="78">
        <f t="shared" si="15"/>
        <v>466.79676479240004</v>
      </c>
    </row>
    <row r="83" spans="1:111" ht="15" customHeight="1">
      <c r="A83" s="134" t="s">
        <v>24</v>
      </c>
      <c r="B83" s="135" t="s">
        <v>23</v>
      </c>
      <c r="C83" s="136">
        <v>0.03</v>
      </c>
      <c r="D83" s="135" t="s">
        <v>25</v>
      </c>
      <c r="E83" s="137">
        <f>F82</f>
        <v>466.79676479240004</v>
      </c>
      <c r="F83" s="138">
        <f t="shared" si="0"/>
        <v>14.003902943772001</v>
      </c>
      <c r="G83" s="96"/>
      <c r="H83" s="101" t="s">
        <v>24</v>
      </c>
      <c r="I83" s="139" t="s">
        <v>23</v>
      </c>
      <c r="J83" s="136">
        <v>0.03</v>
      </c>
      <c r="K83" s="140" t="s">
        <v>25</v>
      </c>
      <c r="L83" s="77">
        <f>M82</f>
        <v>466.79676479240004</v>
      </c>
      <c r="M83" s="78">
        <f t="shared" si="1"/>
        <v>14.003902943772001</v>
      </c>
      <c r="N83" s="96"/>
      <c r="O83" s="101" t="s">
        <v>24</v>
      </c>
      <c r="P83" s="139" t="s">
        <v>23</v>
      </c>
      <c r="Q83" s="136">
        <v>0.03</v>
      </c>
      <c r="R83" s="140" t="s">
        <v>25</v>
      </c>
      <c r="S83" s="77">
        <f>T82</f>
        <v>466.79676479240004</v>
      </c>
      <c r="T83" s="78">
        <f t="shared" si="2"/>
        <v>14.003902943772001</v>
      </c>
      <c r="U83" s="96"/>
      <c r="V83" s="101" t="s">
        <v>24</v>
      </c>
      <c r="W83" s="139" t="s">
        <v>23</v>
      </c>
      <c r="X83" s="136">
        <v>0.03</v>
      </c>
      <c r="Y83" s="140" t="s">
        <v>25</v>
      </c>
      <c r="Z83" s="77">
        <f>AA82</f>
        <v>466.79676479240004</v>
      </c>
      <c r="AA83" s="78">
        <f t="shared" si="3"/>
        <v>14.003902943772001</v>
      </c>
      <c r="AB83" s="96"/>
      <c r="AC83" s="101" t="s">
        <v>24</v>
      </c>
      <c r="AD83" s="139" t="s">
        <v>23</v>
      </c>
      <c r="AE83" s="136">
        <v>0.03</v>
      </c>
      <c r="AF83" s="140" t="s">
        <v>25</v>
      </c>
      <c r="AG83" s="77">
        <f>AH82</f>
        <v>466.79676479240004</v>
      </c>
      <c r="AH83" s="78">
        <f t="shared" si="4"/>
        <v>14.003902943772001</v>
      </c>
      <c r="AI83" s="96"/>
      <c r="AJ83" s="101" t="s">
        <v>24</v>
      </c>
      <c r="AK83" s="139" t="s">
        <v>23</v>
      </c>
      <c r="AL83" s="136">
        <v>0.03</v>
      </c>
      <c r="AM83" s="140" t="s">
        <v>25</v>
      </c>
      <c r="AN83" s="77">
        <f>AO82</f>
        <v>466.79676479240004</v>
      </c>
      <c r="AO83" s="78">
        <f t="shared" si="5"/>
        <v>14.003902943772001</v>
      </c>
      <c r="AP83" s="96"/>
      <c r="AQ83" s="101" t="s">
        <v>24</v>
      </c>
      <c r="AR83" s="139" t="s">
        <v>23</v>
      </c>
      <c r="AS83" s="136">
        <v>0.03</v>
      </c>
      <c r="AT83" s="140" t="s">
        <v>25</v>
      </c>
      <c r="AU83" s="77">
        <f>AV82</f>
        <v>466.79676479240004</v>
      </c>
      <c r="AV83" s="78">
        <f t="shared" si="6"/>
        <v>14.003902943772001</v>
      </c>
      <c r="AW83" s="96"/>
      <c r="AX83" s="101" t="s">
        <v>24</v>
      </c>
      <c r="AY83" s="139" t="s">
        <v>23</v>
      </c>
      <c r="AZ83" s="136">
        <v>0.03</v>
      </c>
      <c r="BA83" s="140" t="s">
        <v>25</v>
      </c>
      <c r="BB83" s="77">
        <f>BC82</f>
        <v>466.79676479240004</v>
      </c>
      <c r="BC83" s="78">
        <f t="shared" si="7"/>
        <v>14.003902943772001</v>
      </c>
      <c r="BD83" s="96"/>
      <c r="BE83" s="261" t="s">
        <v>24</v>
      </c>
      <c r="BF83" s="272" t="s">
        <v>23</v>
      </c>
      <c r="BG83" s="273">
        <v>0.03</v>
      </c>
      <c r="BH83" s="274" t="s">
        <v>25</v>
      </c>
      <c r="BI83" s="259">
        <f>BJ82</f>
        <v>466.79676479240004</v>
      </c>
      <c r="BJ83" s="260">
        <f t="shared" si="8"/>
        <v>14.003902943772001</v>
      </c>
      <c r="BK83" s="96"/>
      <c r="BL83" s="101" t="s">
        <v>24</v>
      </c>
      <c r="BM83" s="139" t="s">
        <v>23</v>
      </c>
      <c r="BN83" s="136">
        <v>0.03</v>
      </c>
      <c r="BO83" s="140" t="s">
        <v>25</v>
      </c>
      <c r="BP83" s="77">
        <f>BQ82</f>
        <v>466.79676479240004</v>
      </c>
      <c r="BQ83" s="78">
        <f t="shared" si="9"/>
        <v>14.003902943772001</v>
      </c>
      <c r="BR83" s="96"/>
      <c r="BS83" s="101" t="s">
        <v>24</v>
      </c>
      <c r="BT83" s="139" t="s">
        <v>23</v>
      </c>
      <c r="BU83" s="136">
        <v>0.03</v>
      </c>
      <c r="BV83" s="140" t="s">
        <v>25</v>
      </c>
      <c r="BW83" s="77">
        <f>BX82</f>
        <v>466.79676479240004</v>
      </c>
      <c r="BX83" s="78">
        <f t="shared" si="10"/>
        <v>14.003902943772001</v>
      </c>
      <c r="BY83" s="96"/>
      <c r="BZ83" s="101" t="s">
        <v>24</v>
      </c>
      <c r="CA83" s="139" t="s">
        <v>23</v>
      </c>
      <c r="CB83" s="136">
        <v>0.03</v>
      </c>
      <c r="CC83" s="140" t="s">
        <v>25</v>
      </c>
      <c r="CD83" s="77">
        <f>CE82</f>
        <v>466.79676479240004</v>
      </c>
      <c r="CE83" s="78">
        <f t="shared" si="11"/>
        <v>14.003902943772001</v>
      </c>
      <c r="CF83" s="96"/>
      <c r="CG83" s="101" t="s">
        <v>24</v>
      </c>
      <c r="CH83" s="139" t="s">
        <v>23</v>
      </c>
      <c r="CI83" s="136">
        <v>0.03</v>
      </c>
      <c r="CJ83" s="140" t="s">
        <v>25</v>
      </c>
      <c r="CK83" s="77">
        <f>CL82</f>
        <v>466.79676479240004</v>
      </c>
      <c r="CL83" s="78">
        <f t="shared" si="12"/>
        <v>14.003902943772001</v>
      </c>
      <c r="CM83" s="96"/>
      <c r="CN83" s="101" t="s">
        <v>24</v>
      </c>
      <c r="CO83" s="139" t="s">
        <v>23</v>
      </c>
      <c r="CP83" s="136">
        <v>0.03</v>
      </c>
      <c r="CQ83" s="140" t="s">
        <v>25</v>
      </c>
      <c r="CR83" s="77">
        <f>CS82</f>
        <v>466.79676479240004</v>
      </c>
      <c r="CS83" s="78">
        <f t="shared" si="13"/>
        <v>14.003902943772001</v>
      </c>
      <c r="CT83" s="96"/>
      <c r="CU83" s="101" t="s">
        <v>24</v>
      </c>
      <c r="CV83" s="139" t="s">
        <v>23</v>
      </c>
      <c r="CW83" s="136">
        <v>0.03</v>
      </c>
      <c r="CX83" s="140" t="s">
        <v>25</v>
      </c>
      <c r="CY83" s="77">
        <f>CZ82</f>
        <v>466.79676479240004</v>
      </c>
      <c r="CZ83" s="78">
        <f t="shared" si="14"/>
        <v>14.003902943772001</v>
      </c>
      <c r="DA83" s="96"/>
      <c r="DB83" s="101" t="s">
        <v>24</v>
      </c>
      <c r="DC83" s="139" t="s">
        <v>23</v>
      </c>
      <c r="DD83" s="136">
        <v>0.03</v>
      </c>
      <c r="DE83" s="140" t="s">
        <v>25</v>
      </c>
      <c r="DF83" s="77">
        <f>DG82</f>
        <v>466.79676479240004</v>
      </c>
      <c r="DG83" s="78">
        <f t="shared" si="15"/>
        <v>14.003902943772001</v>
      </c>
    </row>
    <row r="84" spans="1:111" ht="15" customHeight="1">
      <c r="A84" s="141" t="s">
        <v>196</v>
      </c>
      <c r="B84" s="142" t="s">
        <v>197</v>
      </c>
      <c r="C84" s="143">
        <v>0.02</v>
      </c>
      <c r="D84" s="142" t="s">
        <v>25</v>
      </c>
      <c r="E84" s="144">
        <f>F82</f>
        <v>466.79676479240004</v>
      </c>
      <c r="F84" s="82">
        <f t="shared" si="0"/>
        <v>9.3359352958480013</v>
      </c>
      <c r="G84" s="96"/>
      <c r="H84" s="90" t="s">
        <v>196</v>
      </c>
      <c r="I84" s="79" t="s">
        <v>197</v>
      </c>
      <c r="J84" s="143">
        <v>0.02</v>
      </c>
      <c r="K84" s="79" t="s">
        <v>25</v>
      </c>
      <c r="L84" s="81">
        <f>M82</f>
        <v>466.79676479240004</v>
      </c>
      <c r="M84" s="78">
        <f t="shared" si="1"/>
        <v>9.3359352958480013</v>
      </c>
      <c r="N84" s="96"/>
      <c r="O84" s="90" t="s">
        <v>196</v>
      </c>
      <c r="P84" s="79" t="s">
        <v>197</v>
      </c>
      <c r="Q84" s="143">
        <v>0.02</v>
      </c>
      <c r="R84" s="79" t="s">
        <v>25</v>
      </c>
      <c r="S84" s="81">
        <f>T82</f>
        <v>466.79676479240004</v>
      </c>
      <c r="T84" s="78">
        <f t="shared" si="2"/>
        <v>9.3359352958480013</v>
      </c>
      <c r="U84" s="96"/>
      <c r="V84" s="90" t="s">
        <v>196</v>
      </c>
      <c r="W84" s="79" t="s">
        <v>197</v>
      </c>
      <c r="X84" s="143">
        <v>0.02</v>
      </c>
      <c r="Y84" s="79" t="s">
        <v>25</v>
      </c>
      <c r="Z84" s="81">
        <f>AA82</f>
        <v>466.79676479240004</v>
      </c>
      <c r="AA84" s="78">
        <f t="shared" si="3"/>
        <v>9.3359352958480013</v>
      </c>
      <c r="AB84" s="96"/>
      <c r="AC84" s="90" t="s">
        <v>196</v>
      </c>
      <c r="AD84" s="79" t="s">
        <v>197</v>
      </c>
      <c r="AE84" s="143">
        <v>0.02</v>
      </c>
      <c r="AF84" s="79" t="s">
        <v>25</v>
      </c>
      <c r="AG84" s="81">
        <f>AH82</f>
        <v>466.79676479240004</v>
      </c>
      <c r="AH84" s="78">
        <f t="shared" si="4"/>
        <v>9.3359352958480013</v>
      </c>
      <c r="AI84" s="96"/>
      <c r="AJ84" s="90" t="s">
        <v>196</v>
      </c>
      <c r="AK84" s="79" t="s">
        <v>197</v>
      </c>
      <c r="AL84" s="143">
        <v>0.02</v>
      </c>
      <c r="AM84" s="79" t="s">
        <v>25</v>
      </c>
      <c r="AN84" s="81">
        <f>AO82</f>
        <v>466.79676479240004</v>
      </c>
      <c r="AO84" s="78">
        <f t="shared" si="5"/>
        <v>9.3359352958480013</v>
      </c>
      <c r="AP84" s="96"/>
      <c r="AQ84" s="90" t="s">
        <v>196</v>
      </c>
      <c r="AR84" s="79" t="s">
        <v>197</v>
      </c>
      <c r="AS84" s="143">
        <v>0.02</v>
      </c>
      <c r="AT84" s="79" t="s">
        <v>25</v>
      </c>
      <c r="AU84" s="81">
        <f>AV82</f>
        <v>466.79676479240004</v>
      </c>
      <c r="AV84" s="78">
        <f t="shared" si="6"/>
        <v>9.3359352958480013</v>
      </c>
      <c r="AW84" s="96"/>
      <c r="AX84" s="90" t="s">
        <v>196</v>
      </c>
      <c r="AY84" s="79" t="s">
        <v>197</v>
      </c>
      <c r="AZ84" s="143">
        <v>0.02</v>
      </c>
      <c r="BA84" s="79" t="s">
        <v>25</v>
      </c>
      <c r="BB84" s="81">
        <f>BC82</f>
        <v>466.79676479240004</v>
      </c>
      <c r="BC84" s="78">
        <f t="shared" si="7"/>
        <v>9.3359352958480013</v>
      </c>
      <c r="BD84" s="96"/>
      <c r="BE84" s="262" t="s">
        <v>196</v>
      </c>
      <c r="BF84" s="263" t="s">
        <v>197</v>
      </c>
      <c r="BG84" s="275">
        <v>0.02</v>
      </c>
      <c r="BH84" s="263" t="s">
        <v>25</v>
      </c>
      <c r="BI84" s="264">
        <f>BJ82</f>
        <v>466.79676479240004</v>
      </c>
      <c r="BJ84" s="260">
        <f t="shared" si="8"/>
        <v>9.3359352958480013</v>
      </c>
      <c r="BK84" s="96"/>
      <c r="BL84" s="90" t="s">
        <v>196</v>
      </c>
      <c r="BM84" s="79" t="s">
        <v>197</v>
      </c>
      <c r="BN84" s="143">
        <v>0.02</v>
      </c>
      <c r="BO84" s="79" t="s">
        <v>25</v>
      </c>
      <c r="BP84" s="81">
        <f>BQ82</f>
        <v>466.79676479240004</v>
      </c>
      <c r="BQ84" s="78">
        <f t="shared" si="9"/>
        <v>9.3359352958480013</v>
      </c>
      <c r="BR84" s="96"/>
      <c r="BS84" s="90" t="s">
        <v>196</v>
      </c>
      <c r="BT84" s="79" t="s">
        <v>197</v>
      </c>
      <c r="BU84" s="143">
        <v>0.02</v>
      </c>
      <c r="BV84" s="79" t="s">
        <v>25</v>
      </c>
      <c r="BW84" s="81">
        <f>BX82</f>
        <v>466.79676479240004</v>
      </c>
      <c r="BX84" s="78">
        <f t="shared" si="10"/>
        <v>9.3359352958480013</v>
      </c>
      <c r="BY84" s="96"/>
      <c r="BZ84" s="90" t="s">
        <v>196</v>
      </c>
      <c r="CA84" s="79" t="s">
        <v>197</v>
      </c>
      <c r="CB84" s="143">
        <v>0.02</v>
      </c>
      <c r="CC84" s="79" t="s">
        <v>25</v>
      </c>
      <c r="CD84" s="81">
        <f>CE82</f>
        <v>466.79676479240004</v>
      </c>
      <c r="CE84" s="78">
        <f t="shared" si="11"/>
        <v>9.3359352958480013</v>
      </c>
      <c r="CF84" s="96"/>
      <c r="CG84" s="90" t="s">
        <v>196</v>
      </c>
      <c r="CH84" s="79" t="s">
        <v>197</v>
      </c>
      <c r="CI84" s="143">
        <v>0.02</v>
      </c>
      <c r="CJ84" s="79" t="s">
        <v>25</v>
      </c>
      <c r="CK84" s="81">
        <f>CL82</f>
        <v>466.79676479240004</v>
      </c>
      <c r="CL84" s="78">
        <f t="shared" si="12"/>
        <v>9.3359352958480013</v>
      </c>
      <c r="CM84" s="96"/>
      <c r="CN84" s="90" t="s">
        <v>196</v>
      </c>
      <c r="CO84" s="79" t="s">
        <v>197</v>
      </c>
      <c r="CP84" s="143">
        <v>0.02</v>
      </c>
      <c r="CQ84" s="79" t="s">
        <v>25</v>
      </c>
      <c r="CR84" s="81">
        <f>CS82</f>
        <v>466.79676479240004</v>
      </c>
      <c r="CS84" s="78">
        <f t="shared" si="13"/>
        <v>9.3359352958480013</v>
      </c>
      <c r="CT84" s="96"/>
      <c r="CU84" s="90" t="s">
        <v>196</v>
      </c>
      <c r="CV84" s="79" t="s">
        <v>197</v>
      </c>
      <c r="CW84" s="143">
        <v>0.02</v>
      </c>
      <c r="CX84" s="79" t="s">
        <v>25</v>
      </c>
      <c r="CY84" s="81">
        <f>CZ82</f>
        <v>466.79676479240004</v>
      </c>
      <c r="CZ84" s="78">
        <f t="shared" si="14"/>
        <v>9.3359352958480013</v>
      </c>
      <c r="DA84" s="96"/>
      <c r="DB84" s="90" t="s">
        <v>196</v>
      </c>
      <c r="DC84" s="79" t="s">
        <v>197</v>
      </c>
      <c r="DD84" s="143">
        <v>0.02</v>
      </c>
      <c r="DE84" s="79" t="s">
        <v>25</v>
      </c>
      <c r="DF84" s="81">
        <f>DG82</f>
        <v>466.79676479240004</v>
      </c>
      <c r="DG84" s="78">
        <f t="shared" si="15"/>
        <v>9.3359352958480013</v>
      </c>
    </row>
    <row r="85" spans="1:111" ht="15" customHeight="1">
      <c r="A85" s="850" t="s">
        <v>79</v>
      </c>
      <c r="B85" s="851"/>
      <c r="C85" s="851"/>
      <c r="D85" s="851"/>
      <c r="E85" s="851"/>
      <c r="F85" s="83">
        <f>SUM(F78:F84)</f>
        <v>1816.1866030320202</v>
      </c>
      <c r="G85" s="96"/>
      <c r="H85" s="850" t="s">
        <v>79</v>
      </c>
      <c r="I85" s="851"/>
      <c r="J85" s="851"/>
      <c r="K85" s="851"/>
      <c r="L85" s="851"/>
      <c r="M85" s="121">
        <f>SUM(M78:M84)</f>
        <v>1798.8666030320201</v>
      </c>
      <c r="N85" s="96"/>
      <c r="O85" s="850" t="s">
        <v>79</v>
      </c>
      <c r="P85" s="851"/>
      <c r="Q85" s="851"/>
      <c r="R85" s="851"/>
      <c r="S85" s="851"/>
      <c r="T85" s="121">
        <f>SUM(T78:T84)</f>
        <v>1907.38660303202</v>
      </c>
      <c r="U85" s="96"/>
      <c r="V85" s="850" t="s">
        <v>79</v>
      </c>
      <c r="W85" s="851"/>
      <c r="X85" s="851"/>
      <c r="Y85" s="851"/>
      <c r="Z85" s="851"/>
      <c r="AA85" s="121">
        <f>SUM(AA78:AA84)</f>
        <v>1890.0666030320199</v>
      </c>
      <c r="AB85" s="96"/>
      <c r="AC85" s="850" t="s">
        <v>79</v>
      </c>
      <c r="AD85" s="851"/>
      <c r="AE85" s="851"/>
      <c r="AF85" s="851"/>
      <c r="AG85" s="851"/>
      <c r="AH85" s="121">
        <f>SUM(AH78:AH84)</f>
        <v>2028.3566030320198</v>
      </c>
      <c r="AI85" s="96"/>
      <c r="AJ85" s="850" t="s">
        <v>79</v>
      </c>
      <c r="AK85" s="851"/>
      <c r="AL85" s="851"/>
      <c r="AM85" s="851"/>
      <c r="AN85" s="851"/>
      <c r="AO85" s="121">
        <f>SUM(AO78:AO84)</f>
        <v>1984.1866030320198</v>
      </c>
      <c r="AP85" s="96"/>
      <c r="AQ85" s="850" t="s">
        <v>79</v>
      </c>
      <c r="AR85" s="851"/>
      <c r="AS85" s="851"/>
      <c r="AT85" s="851"/>
      <c r="AU85" s="851"/>
      <c r="AV85" s="121">
        <f>SUM(AV78:AV84)</f>
        <v>2137.0566030320201</v>
      </c>
      <c r="AW85" s="96"/>
      <c r="AX85" s="850" t="s">
        <v>79</v>
      </c>
      <c r="AY85" s="851"/>
      <c r="AZ85" s="851"/>
      <c r="BA85" s="851"/>
      <c r="BB85" s="851"/>
      <c r="BC85" s="121">
        <f>SUM(BC78:BC84)</f>
        <v>2089.38660303202</v>
      </c>
      <c r="BD85" s="96"/>
      <c r="BE85" s="876" t="s">
        <v>79</v>
      </c>
      <c r="BF85" s="877"/>
      <c r="BG85" s="877"/>
      <c r="BH85" s="877"/>
      <c r="BI85" s="877"/>
      <c r="BJ85" s="276">
        <f>SUM(BJ78:BJ84)</f>
        <v>2058.9166030320198</v>
      </c>
      <c r="BK85" s="96"/>
      <c r="BL85" s="850" t="s">
        <v>79</v>
      </c>
      <c r="BM85" s="851"/>
      <c r="BN85" s="851"/>
      <c r="BO85" s="851"/>
      <c r="BP85" s="851"/>
      <c r="BQ85" s="121">
        <f>SUM(BQ78:BQ84)</f>
        <v>2074.2466030320202</v>
      </c>
      <c r="BR85" s="96"/>
      <c r="BS85" s="850" t="s">
        <v>79</v>
      </c>
      <c r="BT85" s="851"/>
      <c r="BU85" s="851"/>
      <c r="BV85" s="851"/>
      <c r="BW85" s="851"/>
      <c r="BX85" s="121">
        <f>SUM(BX78:BX84)</f>
        <v>2255.1166030320201</v>
      </c>
      <c r="BY85" s="96"/>
      <c r="BZ85" s="850" t="s">
        <v>79</v>
      </c>
      <c r="CA85" s="851"/>
      <c r="CB85" s="851"/>
      <c r="CC85" s="851"/>
      <c r="CD85" s="851"/>
      <c r="CE85" s="121">
        <f>SUM(CE78:CE84)</f>
        <v>2200.44660303202</v>
      </c>
      <c r="CF85" s="96"/>
      <c r="CG85" s="850" t="s">
        <v>79</v>
      </c>
      <c r="CH85" s="851"/>
      <c r="CI85" s="851"/>
      <c r="CJ85" s="851"/>
      <c r="CK85" s="851"/>
      <c r="CL85" s="121">
        <f>SUM(CL78:CL84)</f>
        <v>2361.2216030320201</v>
      </c>
      <c r="CM85" s="96"/>
      <c r="CN85" s="850" t="s">
        <v>79</v>
      </c>
      <c r="CO85" s="851"/>
      <c r="CP85" s="851"/>
      <c r="CQ85" s="851"/>
      <c r="CR85" s="851"/>
      <c r="CS85" s="121">
        <f>SUM(CS78:CS84)</f>
        <v>2289.05160303202</v>
      </c>
      <c r="CT85" s="96"/>
      <c r="CU85" s="850" t="s">
        <v>79</v>
      </c>
      <c r="CV85" s="851"/>
      <c r="CW85" s="851"/>
      <c r="CX85" s="851"/>
      <c r="CY85" s="851"/>
      <c r="CZ85" s="121">
        <f>SUM(CZ78:CZ84)</f>
        <v>2515.4216030320199</v>
      </c>
      <c r="DA85" s="96"/>
      <c r="DB85" s="850" t="s">
        <v>79</v>
      </c>
      <c r="DC85" s="851"/>
      <c r="DD85" s="851"/>
      <c r="DE85" s="851"/>
      <c r="DF85" s="851"/>
      <c r="DG85" s="121">
        <f>SUM(DG78:DG84)</f>
        <v>2446.7516030320198</v>
      </c>
    </row>
    <row r="86" spans="1:111" ht="15" customHeight="1">
      <c r="A86" s="84"/>
      <c r="B86" s="84"/>
      <c r="C86" s="84"/>
      <c r="D86" s="84"/>
      <c r="E86" s="84"/>
      <c r="F86" s="84"/>
      <c r="G86" s="61"/>
      <c r="H86" s="115"/>
      <c r="I86" s="115"/>
      <c r="J86" s="115"/>
      <c r="K86" s="115"/>
      <c r="L86" s="115"/>
      <c r="M86" s="115"/>
      <c r="N86" s="61"/>
      <c r="O86" s="115"/>
      <c r="P86" s="115"/>
      <c r="Q86" s="115"/>
      <c r="R86" s="115"/>
      <c r="S86" s="115"/>
      <c r="T86" s="115"/>
      <c r="U86" s="61"/>
      <c r="V86" s="115"/>
      <c r="W86" s="115"/>
      <c r="X86" s="115"/>
      <c r="Y86" s="115"/>
      <c r="Z86" s="115"/>
      <c r="AA86" s="115"/>
      <c r="AB86" s="61"/>
      <c r="AC86" s="115"/>
      <c r="AD86" s="115"/>
      <c r="AE86" s="115"/>
      <c r="AF86" s="115"/>
      <c r="AG86" s="115"/>
      <c r="AH86" s="115"/>
      <c r="AI86" s="61"/>
      <c r="AJ86" s="115"/>
      <c r="AK86" s="115"/>
      <c r="AL86" s="115"/>
      <c r="AM86" s="115"/>
      <c r="AN86" s="115"/>
      <c r="AO86" s="115"/>
      <c r="AP86" s="61"/>
      <c r="AQ86" s="115"/>
      <c r="AR86" s="115"/>
      <c r="AS86" s="115"/>
      <c r="AT86" s="115"/>
      <c r="AU86" s="115"/>
      <c r="AV86" s="115"/>
      <c r="AW86" s="61"/>
      <c r="AX86" s="115"/>
      <c r="AY86" s="115"/>
      <c r="AZ86" s="115"/>
      <c r="BA86" s="115"/>
      <c r="BB86" s="115"/>
      <c r="BC86" s="115"/>
      <c r="BD86" s="61"/>
      <c r="BE86" s="115"/>
      <c r="BF86" s="115"/>
      <c r="BG86" s="115"/>
      <c r="BH86" s="115"/>
      <c r="BI86" s="115"/>
      <c r="BJ86" s="115"/>
      <c r="BK86" s="61"/>
      <c r="BL86" s="115"/>
      <c r="BM86" s="115"/>
      <c r="BN86" s="115"/>
      <c r="BO86" s="115"/>
      <c r="BP86" s="115"/>
      <c r="BQ86" s="115"/>
      <c r="BR86" s="61"/>
      <c r="BS86" s="115"/>
      <c r="BT86" s="115"/>
      <c r="BU86" s="115"/>
      <c r="BV86" s="115"/>
      <c r="BW86" s="115"/>
      <c r="BX86" s="115"/>
      <c r="BY86" s="61"/>
      <c r="BZ86" s="115"/>
      <c r="CA86" s="115"/>
      <c r="CB86" s="115"/>
      <c r="CC86" s="115"/>
      <c r="CD86" s="115"/>
      <c r="CE86" s="115"/>
      <c r="CF86" s="61"/>
      <c r="CG86" s="115"/>
      <c r="CH86" s="115"/>
      <c r="CI86" s="115"/>
      <c r="CJ86" s="115"/>
      <c r="CK86" s="115"/>
      <c r="CL86" s="115"/>
      <c r="CM86" s="61"/>
      <c r="CN86" s="115"/>
      <c r="CO86" s="115"/>
      <c r="CP86" s="115"/>
      <c r="CQ86" s="115"/>
      <c r="CR86" s="115"/>
      <c r="CS86" s="115"/>
      <c r="CT86" s="61"/>
      <c r="CU86" s="115"/>
      <c r="CV86" s="115"/>
      <c r="CW86" s="115"/>
      <c r="CX86" s="115"/>
      <c r="CY86" s="115"/>
      <c r="CZ86" s="115"/>
      <c r="DA86" s="61"/>
      <c r="DB86" s="115"/>
      <c r="DC86" s="115"/>
      <c r="DD86" s="115"/>
      <c r="DE86" s="115"/>
      <c r="DF86" s="115"/>
      <c r="DG86" s="115"/>
    </row>
    <row r="87" spans="1:111" ht="15" customHeight="1">
      <c r="A87" s="64" t="s">
        <v>198</v>
      </c>
      <c r="B87" s="848" t="s">
        <v>199</v>
      </c>
      <c r="C87" s="847"/>
      <c r="D87" s="847"/>
      <c r="E87" s="849"/>
      <c r="F87" s="66" t="s">
        <v>39</v>
      </c>
      <c r="G87" s="67"/>
      <c r="H87" s="444" t="s">
        <v>337</v>
      </c>
      <c r="I87" s="863" t="s">
        <v>846</v>
      </c>
      <c r="J87" s="864"/>
      <c r="K87" s="864"/>
      <c r="L87" s="865"/>
      <c r="M87" s="277" t="s">
        <v>39</v>
      </c>
      <c r="N87" s="61"/>
      <c r="O87" s="332" t="s">
        <v>848</v>
      </c>
      <c r="P87" s="866" t="s">
        <v>1124</v>
      </c>
      <c r="Q87" s="864"/>
      <c r="R87" s="864"/>
      <c r="S87" s="865"/>
      <c r="T87" s="277" t="s">
        <v>39</v>
      </c>
      <c r="U87" s="61"/>
      <c r="V87" s="332" t="s">
        <v>1268</v>
      </c>
      <c r="W87" s="866" t="s">
        <v>1269</v>
      </c>
      <c r="X87" s="864"/>
      <c r="Y87" s="864"/>
      <c r="Z87" s="865"/>
      <c r="AA87" s="277" t="s">
        <v>39</v>
      </c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</row>
    <row r="88" spans="1:111" ht="15" customHeight="1">
      <c r="A88" s="68" t="s">
        <v>1</v>
      </c>
      <c r="B88" s="69" t="s">
        <v>2</v>
      </c>
      <c r="C88" s="69" t="s">
        <v>72</v>
      </c>
      <c r="D88" s="69" t="s">
        <v>3</v>
      </c>
      <c r="E88" s="69" t="s">
        <v>10</v>
      </c>
      <c r="F88" s="70" t="s">
        <v>11</v>
      </c>
      <c r="G88" s="67"/>
      <c r="H88" s="68" t="s">
        <v>1</v>
      </c>
      <c r="I88" s="69" t="s">
        <v>2</v>
      </c>
      <c r="J88" s="69" t="s">
        <v>72</v>
      </c>
      <c r="K88" s="69" t="s">
        <v>3</v>
      </c>
      <c r="L88" s="69" t="s">
        <v>10</v>
      </c>
      <c r="M88" s="70" t="s">
        <v>11</v>
      </c>
      <c r="N88" s="61"/>
      <c r="O88" s="68" t="s">
        <v>1</v>
      </c>
      <c r="P88" s="69" t="s">
        <v>2</v>
      </c>
      <c r="Q88" s="69" t="s">
        <v>72</v>
      </c>
      <c r="R88" s="69" t="s">
        <v>3</v>
      </c>
      <c r="S88" s="69" t="s">
        <v>10</v>
      </c>
      <c r="T88" s="70" t="s">
        <v>11</v>
      </c>
      <c r="U88" s="61"/>
      <c r="V88" s="68" t="s">
        <v>1</v>
      </c>
      <c r="W88" s="69" t="s">
        <v>2</v>
      </c>
      <c r="X88" s="69" t="s">
        <v>72</v>
      </c>
      <c r="Y88" s="69" t="s">
        <v>3</v>
      </c>
      <c r="Z88" s="69" t="s">
        <v>10</v>
      </c>
      <c r="AA88" s="70" t="s">
        <v>11</v>
      </c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</row>
    <row r="89" spans="1:111" ht="30" customHeight="1">
      <c r="A89" s="88" t="str">
        <f>'ANÁLISIS CUADRILLAS'!A30</f>
        <v>CUADR-005</v>
      </c>
      <c r="B89" s="145" t="s">
        <v>200</v>
      </c>
      <c r="C89" s="146">
        <f>1/110</f>
        <v>9.0909090909090905E-3</v>
      </c>
      <c r="D89" s="71" t="s">
        <v>21</v>
      </c>
      <c r="E89" s="73">
        <f>'ANÁLISIS CUADRILLAS'!F35</f>
        <v>1160.5378059999998</v>
      </c>
      <c r="F89" s="74">
        <f>(C89*E89)</f>
        <v>10.550343690909088</v>
      </c>
      <c r="G89" s="67"/>
      <c r="H89" s="445" t="s">
        <v>283</v>
      </c>
      <c r="I89" s="446" t="s">
        <v>200</v>
      </c>
      <c r="J89" s="447">
        <f>1/100</f>
        <v>0.01</v>
      </c>
      <c r="K89" s="281" t="s">
        <v>21</v>
      </c>
      <c r="L89" s="336">
        <f>'ANÁLISIS CUADRILLAS'!F35</f>
        <v>1160.5378059999998</v>
      </c>
      <c r="M89" s="346">
        <f>(J89*L89)</f>
        <v>11.605378059999998</v>
      </c>
      <c r="N89" s="61"/>
      <c r="O89" s="445" t="s">
        <v>283</v>
      </c>
      <c r="P89" s="446" t="s">
        <v>200</v>
      </c>
      <c r="Q89" s="447">
        <f>1/110</f>
        <v>9.0909090909090905E-3</v>
      </c>
      <c r="R89" s="281" t="s">
        <v>21</v>
      </c>
      <c r="S89" s="336">
        <f>'ANÁLISIS CUADRILLAS'!F35</f>
        <v>1160.5378059999998</v>
      </c>
      <c r="T89" s="346">
        <f>(Q89*S89)</f>
        <v>10.550343690909088</v>
      </c>
      <c r="U89" s="61"/>
      <c r="V89" s="445" t="s">
        <v>283</v>
      </c>
      <c r="W89" s="446" t="s">
        <v>200</v>
      </c>
      <c r="X89" s="447">
        <f>1/110</f>
        <v>9.0909090909090905E-3</v>
      </c>
      <c r="Y89" s="281" t="s">
        <v>21</v>
      </c>
      <c r="Z89" s="336">
        <f>'ANÁLISIS CUADRILLAS'!F35</f>
        <v>1160.5378059999998</v>
      </c>
      <c r="AA89" s="346">
        <f>(X89*Z89)</f>
        <v>10.550343690909088</v>
      </c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</row>
    <row r="90" spans="1:111" ht="15" customHeight="1">
      <c r="A90" s="101" t="str">
        <f>MATERIALES!B181</f>
        <v>VAR-005</v>
      </c>
      <c r="B90" s="75" t="s">
        <v>202</v>
      </c>
      <c r="C90" s="76">
        <f>1*1.03</f>
        <v>1.03</v>
      </c>
      <c r="D90" s="75" t="s">
        <v>39</v>
      </c>
      <c r="E90" s="77">
        <f>MATERIALES!E181</f>
        <v>16.09</v>
      </c>
      <c r="F90" s="78">
        <f>(C90*E90)</f>
        <v>16.572700000000001</v>
      </c>
      <c r="G90" s="67"/>
      <c r="H90" s="448" t="s">
        <v>731</v>
      </c>
      <c r="I90" s="449" t="s">
        <v>847</v>
      </c>
      <c r="J90" s="292">
        <f>1*1.03</f>
        <v>1.03</v>
      </c>
      <c r="K90" s="285" t="s">
        <v>39</v>
      </c>
      <c r="L90" s="339">
        <f>MATERIALES!E179</f>
        <v>7.76</v>
      </c>
      <c r="M90" s="318">
        <f>(J90*L90)</f>
        <v>7.9927999999999999</v>
      </c>
      <c r="N90" s="61"/>
      <c r="O90" s="448" t="s">
        <v>201</v>
      </c>
      <c r="P90" s="453" t="s">
        <v>905</v>
      </c>
      <c r="Q90" s="338">
        <f>1*1.03</f>
        <v>1.03</v>
      </c>
      <c r="R90" s="285" t="s">
        <v>39</v>
      </c>
      <c r="S90" s="339">
        <f>MATERIALES!E181</f>
        <v>16.09</v>
      </c>
      <c r="T90" s="318">
        <f>(Q90*S90)</f>
        <v>16.572700000000001</v>
      </c>
      <c r="U90" s="61"/>
      <c r="V90" s="468" t="s">
        <v>736</v>
      </c>
      <c r="W90" s="453" t="s">
        <v>1270</v>
      </c>
      <c r="X90" s="338">
        <f>1*1.03</f>
        <v>1.03</v>
      </c>
      <c r="Y90" s="285" t="s">
        <v>39</v>
      </c>
      <c r="Z90" s="339">
        <f>MATERIALES!E182</f>
        <v>15.05</v>
      </c>
      <c r="AA90" s="318">
        <f>(X90*Z90)</f>
        <v>15.501500000000002</v>
      </c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</row>
    <row r="91" spans="1:111" ht="15" customHeight="1">
      <c r="A91" s="101" t="str">
        <f>MATERIALES!B27</f>
        <v>ALAM-001</v>
      </c>
      <c r="B91" s="75" t="s">
        <v>204</v>
      </c>
      <c r="C91" s="76">
        <v>2.9499999999999998E-2</v>
      </c>
      <c r="D91" s="75" t="s">
        <v>39</v>
      </c>
      <c r="E91" s="77">
        <f>MATERIALES!E27</f>
        <v>26.32</v>
      </c>
      <c r="F91" s="78">
        <f>(C91*E91)</f>
        <v>0.77644000000000002</v>
      </c>
      <c r="G91" s="67"/>
      <c r="H91" s="448" t="s">
        <v>203</v>
      </c>
      <c r="I91" s="285" t="s">
        <v>204</v>
      </c>
      <c r="J91" s="292">
        <v>1.66E-2</v>
      </c>
      <c r="K91" s="285" t="s">
        <v>39</v>
      </c>
      <c r="L91" s="339">
        <f>MATERIALES!E27</f>
        <v>26.32</v>
      </c>
      <c r="M91" s="318">
        <f>(J91*L91)</f>
        <v>0.43691200000000002</v>
      </c>
      <c r="N91" s="61"/>
      <c r="O91" s="448" t="s">
        <v>203</v>
      </c>
      <c r="P91" s="285" t="s">
        <v>204</v>
      </c>
      <c r="Q91" s="292">
        <v>2.9499999999999998E-2</v>
      </c>
      <c r="R91" s="285" t="s">
        <v>39</v>
      </c>
      <c r="S91" s="339">
        <f>MATERIALES!E27</f>
        <v>26.32</v>
      </c>
      <c r="T91" s="318">
        <f>(Q91*S91)</f>
        <v>0.77644000000000002</v>
      </c>
      <c r="U91" s="61"/>
      <c r="V91" s="448" t="s">
        <v>203</v>
      </c>
      <c r="W91" s="285" t="s">
        <v>204</v>
      </c>
      <c r="X91" s="292">
        <v>1.1299999999999999E-2</v>
      </c>
      <c r="Y91" s="285" t="s">
        <v>39</v>
      </c>
      <c r="Z91" s="339">
        <f>MATERIALES!E27</f>
        <v>26.32</v>
      </c>
      <c r="AA91" s="318">
        <f>(X91*Z91)</f>
        <v>0.29741599999999996</v>
      </c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</row>
    <row r="92" spans="1:111" ht="15" customHeight="1">
      <c r="A92" s="101" t="s">
        <v>24</v>
      </c>
      <c r="B92" s="75" t="s">
        <v>205</v>
      </c>
      <c r="C92" s="76">
        <v>0.03</v>
      </c>
      <c r="D92" s="75" t="s">
        <v>25</v>
      </c>
      <c r="E92" s="77">
        <f>F89</f>
        <v>10.550343690909088</v>
      </c>
      <c r="F92" s="78">
        <f>C92*E92</f>
        <v>0.31651031072727265</v>
      </c>
      <c r="G92" s="67"/>
      <c r="H92" s="347" t="s">
        <v>24</v>
      </c>
      <c r="I92" s="285" t="s">
        <v>205</v>
      </c>
      <c r="J92" s="292">
        <v>0.03</v>
      </c>
      <c r="K92" s="285" t="s">
        <v>25</v>
      </c>
      <c r="L92" s="339">
        <f>M89</f>
        <v>11.605378059999998</v>
      </c>
      <c r="M92" s="318">
        <f>J92*L92</f>
        <v>0.34816134179999991</v>
      </c>
      <c r="N92" s="61"/>
      <c r="O92" s="347" t="s">
        <v>24</v>
      </c>
      <c r="P92" s="285" t="s">
        <v>205</v>
      </c>
      <c r="Q92" s="292">
        <v>0.03</v>
      </c>
      <c r="R92" s="285" t="s">
        <v>25</v>
      </c>
      <c r="S92" s="339">
        <f>T89</f>
        <v>10.550343690909088</v>
      </c>
      <c r="T92" s="318">
        <f>Q92*S92</f>
        <v>0.31651031072727265</v>
      </c>
      <c r="U92" s="61"/>
      <c r="V92" s="347" t="s">
        <v>24</v>
      </c>
      <c r="W92" s="285" t="s">
        <v>205</v>
      </c>
      <c r="X92" s="292">
        <v>0.03</v>
      </c>
      <c r="Y92" s="285" t="s">
        <v>25</v>
      </c>
      <c r="Z92" s="339">
        <f>AA89</f>
        <v>10.550343690909088</v>
      </c>
      <c r="AA92" s="318">
        <f>X92*Z92</f>
        <v>0.31651031072727265</v>
      </c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</row>
    <row r="93" spans="1:111" ht="15" customHeight="1">
      <c r="A93" s="90" t="s">
        <v>196</v>
      </c>
      <c r="B93" s="79" t="s">
        <v>206</v>
      </c>
      <c r="C93" s="80">
        <v>0.02</v>
      </c>
      <c r="D93" s="79" t="s">
        <v>25</v>
      </c>
      <c r="E93" s="81">
        <f>F89</f>
        <v>10.550343690909088</v>
      </c>
      <c r="F93" s="82">
        <f>C93*E93</f>
        <v>0.21100687381818176</v>
      </c>
      <c r="G93" s="67"/>
      <c r="H93" s="348" t="s">
        <v>196</v>
      </c>
      <c r="I93" s="305" t="s">
        <v>206</v>
      </c>
      <c r="J93" s="309">
        <v>0.02</v>
      </c>
      <c r="K93" s="305" t="s">
        <v>25</v>
      </c>
      <c r="L93" s="342">
        <f>M89</f>
        <v>11.605378059999998</v>
      </c>
      <c r="M93" s="349">
        <f>J93*L93</f>
        <v>0.23210756119999995</v>
      </c>
      <c r="N93" s="61"/>
      <c r="O93" s="348" t="s">
        <v>196</v>
      </c>
      <c r="P93" s="305" t="s">
        <v>206</v>
      </c>
      <c r="Q93" s="309">
        <v>0.02</v>
      </c>
      <c r="R93" s="305" t="s">
        <v>25</v>
      </c>
      <c r="S93" s="342">
        <f>T89</f>
        <v>10.550343690909088</v>
      </c>
      <c r="T93" s="349">
        <f>Q93*S93</f>
        <v>0.21100687381818176</v>
      </c>
      <c r="U93" s="61"/>
      <c r="V93" s="348" t="s">
        <v>196</v>
      </c>
      <c r="W93" s="305" t="s">
        <v>206</v>
      </c>
      <c r="X93" s="309">
        <v>0.02</v>
      </c>
      <c r="Y93" s="305" t="s">
        <v>25</v>
      </c>
      <c r="Z93" s="342">
        <f>AA89</f>
        <v>10.550343690909088</v>
      </c>
      <c r="AA93" s="349">
        <f>X93*Z93</f>
        <v>0.21100687381818176</v>
      </c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</row>
    <row r="94" spans="1:111" ht="15" customHeight="1">
      <c r="A94" s="854" t="s">
        <v>79</v>
      </c>
      <c r="B94" s="855"/>
      <c r="C94" s="855"/>
      <c r="D94" s="855"/>
      <c r="E94" s="856"/>
      <c r="F94" s="83">
        <f>SUM(F89:F93)</f>
        <v>28.427000875454546</v>
      </c>
      <c r="G94" s="67"/>
      <c r="H94" s="854" t="s">
        <v>79</v>
      </c>
      <c r="I94" s="855"/>
      <c r="J94" s="855"/>
      <c r="K94" s="855"/>
      <c r="L94" s="856"/>
      <c r="M94" s="450">
        <f>SUM(M89:M93)</f>
        <v>20.615358962999998</v>
      </c>
      <c r="N94" s="61"/>
      <c r="O94" s="854" t="s">
        <v>79</v>
      </c>
      <c r="P94" s="855"/>
      <c r="Q94" s="855"/>
      <c r="R94" s="855"/>
      <c r="S94" s="856"/>
      <c r="T94" s="450">
        <f>SUM(T89:T93)</f>
        <v>28.427000875454546</v>
      </c>
      <c r="U94" s="61"/>
      <c r="V94" s="854" t="s">
        <v>79</v>
      </c>
      <c r="W94" s="855"/>
      <c r="X94" s="855"/>
      <c r="Y94" s="855"/>
      <c r="Z94" s="856"/>
      <c r="AA94" s="450">
        <f>SUM(AA89:AA93)</f>
        <v>26.876776875454542</v>
      </c>
      <c r="AB94" s="61"/>
      <c r="AC94" s="61"/>
      <c r="AD94" s="61"/>
      <c r="AE94" s="61"/>
      <c r="AF94" s="61"/>
      <c r="AG94" s="61"/>
      <c r="AH94" s="61"/>
      <c r="AI94" s="61"/>
      <c r="AJ94" s="147"/>
      <c r="AK94" s="61"/>
      <c r="AL94" s="61"/>
      <c r="AM94" s="61"/>
      <c r="AN94" s="61"/>
      <c r="AO94" s="61"/>
      <c r="AP94" s="61"/>
      <c r="AQ94" s="147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</row>
    <row r="95" spans="1:111" ht="15" customHeight="1">
      <c r="A95" s="148"/>
      <c r="B95" s="148"/>
      <c r="C95" s="148"/>
      <c r="D95" s="148"/>
      <c r="E95" s="148"/>
      <c r="F95" s="149"/>
      <c r="G95" s="61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147"/>
      <c r="AK95" s="61"/>
      <c r="AL95" s="61"/>
      <c r="AM95" s="61"/>
      <c r="AN95" s="61"/>
      <c r="AO95" s="61"/>
      <c r="AP95" s="61"/>
      <c r="AQ95" s="147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</row>
    <row r="96" spans="1:111" ht="45" customHeight="1">
      <c r="A96" s="150" t="s">
        <v>207</v>
      </c>
      <c r="B96" s="843" t="s">
        <v>208</v>
      </c>
      <c r="C96" s="844"/>
      <c r="D96" s="844"/>
      <c r="E96" s="845"/>
      <c r="F96" s="66" t="s">
        <v>42</v>
      </c>
      <c r="G96" s="96"/>
      <c r="H96" s="151" t="s">
        <v>209</v>
      </c>
      <c r="I96" s="151" t="s">
        <v>210</v>
      </c>
      <c r="J96" s="152" t="s">
        <v>211</v>
      </c>
      <c r="K96" s="152" t="s">
        <v>212</v>
      </c>
      <c r="L96" s="152" t="s">
        <v>213</v>
      </c>
      <c r="M96" s="152" t="s">
        <v>212</v>
      </c>
      <c r="N96" s="151" t="s">
        <v>214</v>
      </c>
      <c r="O96" s="152" t="s">
        <v>215</v>
      </c>
      <c r="P96" s="152" t="s">
        <v>8</v>
      </c>
      <c r="Q96" s="152" t="s">
        <v>39</v>
      </c>
      <c r="R96" s="67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</row>
    <row r="97" spans="1:111" ht="15" customHeight="1">
      <c r="A97" s="85" t="s">
        <v>1</v>
      </c>
      <c r="B97" s="86" t="s">
        <v>2</v>
      </c>
      <c r="C97" s="86" t="s">
        <v>72</v>
      </c>
      <c r="D97" s="86" t="s">
        <v>3</v>
      </c>
      <c r="E97" s="86" t="s">
        <v>10</v>
      </c>
      <c r="F97" s="87" t="s">
        <v>11</v>
      </c>
      <c r="G97" s="96"/>
      <c r="H97" s="153" t="s">
        <v>216</v>
      </c>
      <c r="I97" s="819">
        <f>((10*1*4*1)/3.657)</f>
        <v>10.937927262783703</v>
      </c>
      <c r="J97" s="821">
        <f t="shared" ref="J97:J109" si="16">1/1</f>
        <v>1</v>
      </c>
      <c r="K97" s="821">
        <f>I97*J97</f>
        <v>10.937927262783703</v>
      </c>
      <c r="L97" s="821">
        <v>1.2</v>
      </c>
      <c r="M97" s="821">
        <f>K97*L97</f>
        <v>13.125512715340443</v>
      </c>
      <c r="N97" s="842" t="s">
        <v>217</v>
      </c>
      <c r="O97" s="825">
        <f>(M97*1)/5</f>
        <v>2.6251025430680888</v>
      </c>
      <c r="P97" s="88" t="s">
        <v>218</v>
      </c>
      <c r="Q97" s="154">
        <v>3.7999999999999999E-2</v>
      </c>
      <c r="R97" s="67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77"/>
      <c r="AO97" s="77"/>
      <c r="AP97" s="61"/>
      <c r="AQ97" s="61"/>
      <c r="AR97" s="61"/>
      <c r="AS97" s="61"/>
      <c r="AT97" s="61"/>
      <c r="AU97" s="77"/>
      <c r="AV97" s="77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</row>
    <row r="98" spans="1:111" ht="30" customHeight="1">
      <c r="A98" s="88" t="str">
        <f>MATERIALES!B32</f>
        <v>MAD-001</v>
      </c>
      <c r="B98" s="145" t="s">
        <v>220</v>
      </c>
      <c r="C98" s="155">
        <f>Q103</f>
        <v>4.4626743232157509</v>
      </c>
      <c r="D98" s="71" t="s">
        <v>221</v>
      </c>
      <c r="E98" s="73">
        <f>MATERIALES!E32</f>
        <v>27.33</v>
      </c>
      <c r="F98" s="74">
        <f>(C98*E98)</f>
        <v>121.96488925348646</v>
      </c>
      <c r="G98" s="96"/>
      <c r="H98" s="156" t="s">
        <v>222</v>
      </c>
      <c r="I98" s="820"/>
      <c r="J98" s="822"/>
      <c r="K98" s="822"/>
      <c r="L98" s="822"/>
      <c r="M98" s="822"/>
      <c r="N98" s="824"/>
      <c r="O98" s="826"/>
      <c r="P98" s="101" t="s">
        <v>223</v>
      </c>
      <c r="Q98" s="157">
        <v>6.4000000000000001E-2</v>
      </c>
      <c r="R98" s="67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77"/>
      <c r="AO98" s="77"/>
      <c r="AP98" s="61"/>
      <c r="AQ98" s="61"/>
      <c r="AR98" s="61"/>
      <c r="AS98" s="61"/>
      <c r="AT98" s="61"/>
      <c r="AU98" s="77"/>
      <c r="AV98" s="77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</row>
    <row r="99" spans="1:111" ht="15" customHeight="1">
      <c r="A99" s="101" t="str">
        <f>MATERIALES!B30</f>
        <v>MAD-002</v>
      </c>
      <c r="B99" s="75" t="s">
        <v>225</v>
      </c>
      <c r="C99" s="158">
        <f>Q104</f>
        <v>0.35001367240907849</v>
      </c>
      <c r="D99" s="75" t="s">
        <v>221</v>
      </c>
      <c r="E99" s="77">
        <f>MATERIALES!E30</f>
        <v>38.79</v>
      </c>
      <c r="F99" s="78">
        <f>(C99*E99)</f>
        <v>13.577030352748155</v>
      </c>
      <c r="G99" s="96"/>
      <c r="H99" s="153" t="s">
        <v>226</v>
      </c>
      <c r="I99" s="819">
        <f t="shared" ref="I99:I107" si="17">(1*4*4*1)/3.657</f>
        <v>4.3751709051134808</v>
      </c>
      <c r="J99" s="821">
        <f t="shared" si="16"/>
        <v>1</v>
      </c>
      <c r="K99" s="821">
        <f>I99*J99</f>
        <v>4.3751709051134808</v>
      </c>
      <c r="L99" s="821">
        <v>1.2</v>
      </c>
      <c r="M99" s="821">
        <f>K99*L99</f>
        <v>5.2502050861361766</v>
      </c>
      <c r="N99" s="842" t="s">
        <v>227</v>
      </c>
      <c r="O99" s="825">
        <f>(M99*1)/10</f>
        <v>0.52502050861361771</v>
      </c>
      <c r="P99" s="90" t="s">
        <v>228</v>
      </c>
      <c r="Q99" s="159">
        <v>0.08</v>
      </c>
      <c r="R99" s="67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77"/>
      <c r="AO99" s="77"/>
      <c r="AP99" s="61"/>
      <c r="AQ99" s="61"/>
      <c r="AR99" s="61"/>
      <c r="AS99" s="61"/>
      <c r="AT99" s="61"/>
      <c r="AU99" s="77"/>
      <c r="AV99" s="77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</row>
    <row r="100" spans="1:111" ht="15" customHeight="1">
      <c r="A100" s="101" t="str">
        <f>MATERIALES!B31</f>
        <v>MAD-003</v>
      </c>
      <c r="B100" s="75" t="s">
        <v>230</v>
      </c>
      <c r="C100" s="158">
        <f>Q105</f>
        <v>2.2707136997538964</v>
      </c>
      <c r="D100" s="75" t="s">
        <v>221</v>
      </c>
      <c r="E100" s="77">
        <f>MATERIALES!E31</f>
        <v>77.59</v>
      </c>
      <c r="F100" s="78">
        <f>(C100*E100)</f>
        <v>176.18467596390482</v>
      </c>
      <c r="G100" s="96"/>
      <c r="H100" s="156" t="s">
        <v>231</v>
      </c>
      <c r="I100" s="820"/>
      <c r="J100" s="822"/>
      <c r="K100" s="822"/>
      <c r="L100" s="822"/>
      <c r="M100" s="822"/>
      <c r="N100" s="824"/>
      <c r="O100" s="826"/>
      <c r="P100" s="160"/>
      <c r="Q100" s="161" t="s">
        <v>232</v>
      </c>
      <c r="R100" s="67"/>
      <c r="S100" s="61"/>
      <c r="T100" s="61"/>
      <c r="U100" s="61"/>
      <c r="V100" s="61"/>
      <c r="W100" s="61"/>
      <c r="X100" s="61"/>
      <c r="Y100" s="61"/>
      <c r="Z100" s="61"/>
      <c r="AA100" s="380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77"/>
      <c r="AO100" s="77"/>
      <c r="AP100" s="61"/>
      <c r="AQ100" s="61"/>
      <c r="AR100" s="61"/>
      <c r="AS100" s="61"/>
      <c r="AT100" s="61"/>
      <c r="AU100" s="77"/>
      <c r="AV100" s="77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</row>
    <row r="101" spans="1:111" ht="15" customHeight="1">
      <c r="A101" s="101" t="str">
        <f>MATERIALES!B41</f>
        <v>CLAV-001</v>
      </c>
      <c r="B101" s="75" t="s">
        <v>233</v>
      </c>
      <c r="C101" s="76">
        <f>Q97</f>
        <v>3.7999999999999999E-2</v>
      </c>
      <c r="D101" s="75" t="s">
        <v>39</v>
      </c>
      <c r="E101" s="77">
        <f>MATERIALES!E41</f>
        <v>30.6</v>
      </c>
      <c r="F101" s="78">
        <f t="shared" ref="F101:F107" si="18">C101*E101</f>
        <v>1.1628000000000001</v>
      </c>
      <c r="G101" s="96"/>
      <c r="H101" s="153" t="s">
        <v>234</v>
      </c>
      <c r="I101" s="819">
        <f>(1*4*4*2.325)/3.657</f>
        <v>10.172272354388843</v>
      </c>
      <c r="J101" s="821">
        <f t="shared" si="16"/>
        <v>1</v>
      </c>
      <c r="K101" s="821">
        <f>I101*J101</f>
        <v>10.172272354388843</v>
      </c>
      <c r="L101" s="821">
        <v>1.2</v>
      </c>
      <c r="M101" s="821">
        <f>K101*L101</f>
        <v>12.206726825266612</v>
      </c>
      <c r="N101" s="842" t="s">
        <v>227</v>
      </c>
      <c r="O101" s="825">
        <f>(M101*1)/10</f>
        <v>1.2206726825266612</v>
      </c>
      <c r="P101" s="88" t="s">
        <v>235</v>
      </c>
      <c r="Q101" s="154">
        <v>0.8</v>
      </c>
      <c r="R101" s="67"/>
      <c r="S101" s="61"/>
      <c r="T101" s="61"/>
      <c r="U101" s="61"/>
      <c r="V101" s="61"/>
      <c r="W101" s="61"/>
      <c r="X101" s="61"/>
      <c r="Y101" s="61"/>
      <c r="Z101" s="61"/>
      <c r="AA101" s="228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77"/>
      <c r="AP101" s="61"/>
      <c r="AQ101" s="61"/>
      <c r="AR101" s="61"/>
      <c r="AS101" s="61"/>
      <c r="AT101" s="61"/>
      <c r="AU101" s="61"/>
      <c r="AV101" s="77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</row>
    <row r="102" spans="1:111" ht="15" customHeight="1">
      <c r="A102" s="101" t="s">
        <v>392</v>
      </c>
      <c r="B102" s="75" t="s">
        <v>236</v>
      </c>
      <c r="C102" s="76">
        <f>Q98</f>
        <v>6.4000000000000001E-2</v>
      </c>
      <c r="D102" s="75" t="s">
        <v>39</v>
      </c>
      <c r="E102" s="77">
        <f>MATERIALES!E41</f>
        <v>30.6</v>
      </c>
      <c r="F102" s="78">
        <f t="shared" si="18"/>
        <v>1.9584000000000001</v>
      </c>
      <c r="G102" s="96"/>
      <c r="H102" s="156" t="s">
        <v>237</v>
      </c>
      <c r="I102" s="820"/>
      <c r="J102" s="822"/>
      <c r="K102" s="822"/>
      <c r="L102" s="822"/>
      <c r="M102" s="822"/>
      <c r="N102" s="824"/>
      <c r="O102" s="826"/>
      <c r="P102" s="162"/>
      <c r="Q102" s="163"/>
      <c r="R102" s="67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</row>
    <row r="103" spans="1:111" ht="15" customHeight="1">
      <c r="A103" s="101" t="str">
        <f>MATERIALES!B27</f>
        <v>ALAM-001</v>
      </c>
      <c r="B103" s="75" t="s">
        <v>238</v>
      </c>
      <c r="C103" s="76">
        <f>Q99</f>
        <v>0.08</v>
      </c>
      <c r="D103" s="75" t="s">
        <v>39</v>
      </c>
      <c r="E103" s="77">
        <f>MATERIALES!E27</f>
        <v>26.32</v>
      </c>
      <c r="F103" s="78">
        <f t="shared" si="18"/>
        <v>2.1055999999999999</v>
      </c>
      <c r="G103" s="96"/>
      <c r="H103" s="153" t="s">
        <v>239</v>
      </c>
      <c r="I103" s="819">
        <f>(2*1*4*1)/3.657</f>
        <v>2.1875854525567404</v>
      </c>
      <c r="J103" s="821">
        <f t="shared" si="16"/>
        <v>1</v>
      </c>
      <c r="K103" s="821">
        <f>I103*J103</f>
        <v>2.1875854525567404</v>
      </c>
      <c r="L103" s="821">
        <v>1.2</v>
      </c>
      <c r="M103" s="821">
        <f>K103*L103</f>
        <v>2.6251025430680883</v>
      </c>
      <c r="N103" s="842" t="s">
        <v>240</v>
      </c>
      <c r="O103" s="825">
        <f>(M103*1)/3</f>
        <v>0.87503418102269614</v>
      </c>
      <c r="P103" s="164" t="s">
        <v>241</v>
      </c>
      <c r="Q103" s="165">
        <f>O97+O103+O109</f>
        <v>4.4626743232157509</v>
      </c>
      <c r="R103" s="67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</row>
    <row r="104" spans="1:111" ht="15" customHeight="1">
      <c r="A104" s="101" t="str">
        <f>MATERIALES!B17</f>
        <v>DIS-001</v>
      </c>
      <c r="B104" s="75" t="s">
        <v>243</v>
      </c>
      <c r="C104" s="76">
        <f>Q101</f>
        <v>0.8</v>
      </c>
      <c r="D104" s="75" t="s">
        <v>232</v>
      </c>
      <c r="E104" s="77">
        <f>MATERIALES!E17</f>
        <v>18.57</v>
      </c>
      <c r="F104" s="78">
        <f t="shared" si="18"/>
        <v>14.856000000000002</v>
      </c>
      <c r="G104" s="96"/>
      <c r="H104" s="156" t="s">
        <v>244</v>
      </c>
      <c r="I104" s="820"/>
      <c r="J104" s="822"/>
      <c r="K104" s="822"/>
      <c r="L104" s="822"/>
      <c r="M104" s="822"/>
      <c r="N104" s="824"/>
      <c r="O104" s="826"/>
      <c r="P104" s="164" t="s">
        <v>245</v>
      </c>
      <c r="Q104" s="165">
        <f>O105</f>
        <v>0.35001367240907849</v>
      </c>
      <c r="R104" s="67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</row>
    <row r="105" spans="1:111" ht="15" customHeight="1">
      <c r="A105" s="101" t="s">
        <v>24</v>
      </c>
      <c r="B105" s="75" t="s">
        <v>205</v>
      </c>
      <c r="C105" s="76">
        <v>0.03</v>
      </c>
      <c r="D105" s="75" t="s">
        <v>25</v>
      </c>
      <c r="E105" s="77">
        <f>F107</f>
        <v>159.72311068627454</v>
      </c>
      <c r="F105" s="78">
        <f t="shared" si="18"/>
        <v>4.7916933205882364</v>
      </c>
      <c r="G105" s="96"/>
      <c r="H105" s="153" t="s">
        <v>246</v>
      </c>
      <c r="I105" s="819">
        <f>(1*2*4*0.4)/3.657</f>
        <v>0.87503418102269626</v>
      </c>
      <c r="J105" s="821">
        <f t="shared" si="16"/>
        <v>1</v>
      </c>
      <c r="K105" s="821">
        <f>I105*J105</f>
        <v>0.87503418102269626</v>
      </c>
      <c r="L105" s="821">
        <v>1.2</v>
      </c>
      <c r="M105" s="821">
        <f>K105*L105</f>
        <v>1.0500410172272354</v>
      </c>
      <c r="N105" s="842" t="s">
        <v>240</v>
      </c>
      <c r="O105" s="825">
        <f>(M105*1)/3</f>
        <v>0.35001367240907849</v>
      </c>
      <c r="P105" s="164" t="s">
        <v>247</v>
      </c>
      <c r="Q105" s="165">
        <f>O99+O107+O101</f>
        <v>2.2707136997538964</v>
      </c>
      <c r="R105" s="67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</row>
    <row r="106" spans="1:111" ht="15" customHeight="1">
      <c r="A106" s="101" t="s">
        <v>196</v>
      </c>
      <c r="B106" s="75" t="s">
        <v>206</v>
      </c>
      <c r="C106" s="76">
        <v>0.02</v>
      </c>
      <c r="D106" s="75" t="s">
        <v>25</v>
      </c>
      <c r="E106" s="77">
        <f>F107</f>
        <v>159.72311068627454</v>
      </c>
      <c r="F106" s="78">
        <f t="shared" si="18"/>
        <v>3.1944622137254908</v>
      </c>
      <c r="G106" s="96"/>
      <c r="H106" s="156" t="s">
        <v>248</v>
      </c>
      <c r="I106" s="820"/>
      <c r="J106" s="822"/>
      <c r="K106" s="822"/>
      <c r="L106" s="822"/>
      <c r="M106" s="822"/>
      <c r="N106" s="824"/>
      <c r="O106" s="826"/>
      <c r="P106" s="166"/>
      <c r="Q106" s="115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</row>
    <row r="107" spans="1:111" ht="45" customHeight="1">
      <c r="A107" s="90" t="str">
        <f>'ANÁLISIS CUADRILLAS'!A37</f>
        <v>CUADR-006</v>
      </c>
      <c r="B107" s="167" t="s">
        <v>249</v>
      </c>
      <c r="C107" s="91">
        <f>1/10.2</f>
        <v>9.8039215686274522E-2</v>
      </c>
      <c r="D107" s="79" t="s">
        <v>21</v>
      </c>
      <c r="E107" s="81">
        <f>'ANÁLISIS CUADRILLAS'!F42</f>
        <v>1629.175729</v>
      </c>
      <c r="F107" s="82">
        <f t="shared" si="18"/>
        <v>159.72311068627454</v>
      </c>
      <c r="G107" s="96"/>
      <c r="H107" s="153" t="s">
        <v>250</v>
      </c>
      <c r="I107" s="819">
        <f t="shared" si="17"/>
        <v>4.3751709051134808</v>
      </c>
      <c r="J107" s="821">
        <f t="shared" si="16"/>
        <v>1</v>
      </c>
      <c r="K107" s="821">
        <f>I107*J107</f>
        <v>4.3751709051134808</v>
      </c>
      <c r="L107" s="821">
        <v>1.2</v>
      </c>
      <c r="M107" s="821">
        <f>K107*L107</f>
        <v>5.2502050861361766</v>
      </c>
      <c r="N107" s="842" t="s">
        <v>227</v>
      </c>
      <c r="O107" s="825">
        <f>(M107*1)/10</f>
        <v>0.52502050861361771</v>
      </c>
      <c r="P107" s="67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</row>
    <row r="108" spans="1:111" ht="15" customHeight="1">
      <c r="A108" s="816" t="s">
        <v>79</v>
      </c>
      <c r="B108" s="817"/>
      <c r="C108" s="817"/>
      <c r="D108" s="817"/>
      <c r="E108" s="818"/>
      <c r="F108" s="83">
        <f>SUM(F98:F107)</f>
        <v>499.51866179072772</v>
      </c>
      <c r="G108" s="96"/>
      <c r="H108" s="156" t="s">
        <v>231</v>
      </c>
      <c r="I108" s="820"/>
      <c r="J108" s="822"/>
      <c r="K108" s="822"/>
      <c r="L108" s="822"/>
      <c r="M108" s="822"/>
      <c r="N108" s="824"/>
      <c r="O108" s="826"/>
      <c r="P108" s="67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</row>
    <row r="109" spans="1:111" ht="15" customHeight="1">
      <c r="A109" s="115"/>
      <c r="B109" s="115"/>
      <c r="C109" s="115"/>
      <c r="D109" s="115"/>
      <c r="E109" s="115"/>
      <c r="F109" s="115"/>
      <c r="G109" s="168"/>
      <c r="H109" s="153" t="s">
        <v>251</v>
      </c>
      <c r="I109" s="819">
        <f>(4*1*4*0.55)/3.657</f>
        <v>2.4063439978124146</v>
      </c>
      <c r="J109" s="821">
        <f t="shared" si="16"/>
        <v>1</v>
      </c>
      <c r="K109" s="821">
        <f>I109*J109</f>
        <v>2.4063439978124146</v>
      </c>
      <c r="L109" s="821">
        <v>1.2</v>
      </c>
      <c r="M109" s="821">
        <f>K109*L109</f>
        <v>2.8876127973748975</v>
      </c>
      <c r="N109" s="842" t="s">
        <v>240</v>
      </c>
      <c r="O109" s="825">
        <f>(M109*1)/3</f>
        <v>0.96253759912496584</v>
      </c>
      <c r="P109" s="67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</row>
    <row r="110" spans="1:111" ht="15" customHeight="1">
      <c r="A110" s="61"/>
      <c r="B110" s="61"/>
      <c r="C110" s="61"/>
      <c r="D110" s="61"/>
      <c r="E110" s="61"/>
      <c r="F110" s="61"/>
      <c r="G110" s="168"/>
      <c r="H110" s="156" t="s">
        <v>252</v>
      </c>
      <c r="I110" s="820"/>
      <c r="J110" s="822"/>
      <c r="K110" s="822"/>
      <c r="L110" s="822"/>
      <c r="M110" s="822"/>
      <c r="N110" s="824"/>
      <c r="O110" s="826"/>
      <c r="P110" s="67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</row>
    <row r="111" spans="1:111" ht="15" customHeight="1">
      <c r="A111" s="61"/>
      <c r="B111" s="61"/>
      <c r="C111" s="61"/>
      <c r="D111" s="61"/>
      <c r="E111" s="61"/>
      <c r="F111" s="61"/>
      <c r="G111" s="61"/>
      <c r="H111" s="115"/>
      <c r="I111" s="115"/>
      <c r="J111" s="155"/>
      <c r="K111" s="115"/>
      <c r="L111" s="115"/>
      <c r="M111" s="115"/>
      <c r="N111" s="115"/>
      <c r="O111" s="115"/>
      <c r="P111" s="61"/>
      <c r="Q111" s="61"/>
      <c r="R111" s="61"/>
      <c r="S111" s="473"/>
      <c r="T111" s="473"/>
      <c r="U111" s="473"/>
      <c r="V111" s="473"/>
      <c r="W111" s="473"/>
      <c r="X111" s="473"/>
      <c r="Y111" s="473"/>
      <c r="Z111" s="473"/>
      <c r="AA111" s="473"/>
      <c r="AB111" s="473"/>
      <c r="AC111" s="473"/>
      <c r="AD111" s="473"/>
      <c r="AE111" s="473"/>
      <c r="AF111" s="473"/>
      <c r="AG111" s="473"/>
      <c r="AH111" s="473"/>
      <c r="AI111" s="473"/>
      <c r="AJ111" s="473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</row>
    <row r="112" spans="1:111" ht="45" customHeight="1">
      <c r="A112" s="150" t="s">
        <v>1089</v>
      </c>
      <c r="B112" s="843" t="s">
        <v>1278</v>
      </c>
      <c r="C112" s="844"/>
      <c r="D112" s="844"/>
      <c r="E112" s="845"/>
      <c r="F112" s="66" t="s">
        <v>42</v>
      </c>
      <c r="G112" s="96"/>
      <c r="H112" s="151" t="s">
        <v>209</v>
      </c>
      <c r="I112" s="151" t="s">
        <v>210</v>
      </c>
      <c r="J112" s="152" t="s">
        <v>211</v>
      </c>
      <c r="K112" s="152" t="s">
        <v>212</v>
      </c>
      <c r="L112" s="152" t="s">
        <v>213</v>
      </c>
      <c r="M112" s="152" t="s">
        <v>212</v>
      </c>
      <c r="N112" s="151" t="s">
        <v>214</v>
      </c>
      <c r="O112" s="152" t="s">
        <v>215</v>
      </c>
      <c r="P112" s="152" t="s">
        <v>8</v>
      </c>
      <c r="Q112" s="152" t="s">
        <v>39</v>
      </c>
      <c r="S112" s="150" t="s">
        <v>1125</v>
      </c>
      <c r="T112" s="839" t="s">
        <v>1277</v>
      </c>
      <c r="U112" s="840"/>
      <c r="V112" s="840"/>
      <c r="W112" s="841"/>
      <c r="X112" s="66" t="s">
        <v>42</v>
      </c>
      <c r="Y112" s="96"/>
      <c r="Z112" s="151" t="s">
        <v>209</v>
      </c>
      <c r="AA112" s="151" t="s">
        <v>210</v>
      </c>
      <c r="AB112" s="152" t="s">
        <v>211</v>
      </c>
      <c r="AC112" s="152" t="s">
        <v>212</v>
      </c>
      <c r="AD112" s="152" t="s">
        <v>213</v>
      </c>
      <c r="AE112" s="152" t="s">
        <v>212</v>
      </c>
      <c r="AF112" s="151" t="s">
        <v>214</v>
      </c>
      <c r="AG112" s="152" t="s">
        <v>215</v>
      </c>
      <c r="AH112" s="152" t="s">
        <v>8</v>
      </c>
      <c r="AI112" s="152" t="s">
        <v>39</v>
      </c>
      <c r="AJ112" s="474"/>
      <c r="AK112" s="150" t="s">
        <v>1271</v>
      </c>
      <c r="AL112" s="839" t="s">
        <v>1276</v>
      </c>
      <c r="AM112" s="840"/>
      <c r="AN112" s="840"/>
      <c r="AO112" s="841"/>
      <c r="AP112" s="66" t="s">
        <v>42</v>
      </c>
      <c r="AQ112" s="96"/>
      <c r="AR112" s="151" t="s">
        <v>209</v>
      </c>
      <c r="AS112" s="151" t="s">
        <v>210</v>
      </c>
      <c r="AT112" s="152" t="s">
        <v>211</v>
      </c>
      <c r="AU112" s="152" t="s">
        <v>212</v>
      </c>
      <c r="AV112" s="152" t="s">
        <v>213</v>
      </c>
      <c r="AW112" s="152" t="s">
        <v>212</v>
      </c>
      <c r="AX112" s="151" t="s">
        <v>214</v>
      </c>
      <c r="AY112" s="152" t="s">
        <v>215</v>
      </c>
      <c r="AZ112" s="152" t="s">
        <v>8</v>
      </c>
      <c r="BA112" s="152" t="s">
        <v>39</v>
      </c>
      <c r="BC112" s="150" t="s">
        <v>1275</v>
      </c>
      <c r="BD112" s="839" t="s">
        <v>1280</v>
      </c>
      <c r="BE112" s="840"/>
      <c r="BF112" s="840"/>
      <c r="BG112" s="841"/>
      <c r="BH112" s="66" t="s">
        <v>42</v>
      </c>
      <c r="BI112" s="96"/>
      <c r="BJ112" s="151" t="s">
        <v>209</v>
      </c>
      <c r="BK112" s="151" t="s">
        <v>210</v>
      </c>
      <c r="BL112" s="152" t="s">
        <v>211</v>
      </c>
      <c r="BM112" s="152" t="s">
        <v>212</v>
      </c>
      <c r="BN112" s="152" t="s">
        <v>213</v>
      </c>
      <c r="BO112" s="152" t="s">
        <v>212</v>
      </c>
      <c r="BP112" s="151" t="s">
        <v>214</v>
      </c>
      <c r="BQ112" s="152" t="s">
        <v>215</v>
      </c>
      <c r="BR112" s="152" t="s">
        <v>8</v>
      </c>
      <c r="BS112" s="152" t="s">
        <v>39</v>
      </c>
      <c r="BU112" s="150" t="s">
        <v>1283</v>
      </c>
      <c r="BV112" s="839" t="s">
        <v>1284</v>
      </c>
      <c r="BW112" s="840"/>
      <c r="BX112" s="840"/>
      <c r="BY112" s="841"/>
      <c r="BZ112" s="66" t="s">
        <v>42</v>
      </c>
      <c r="CA112" s="96"/>
      <c r="CB112" s="151" t="s">
        <v>209</v>
      </c>
      <c r="CC112" s="151" t="s">
        <v>210</v>
      </c>
      <c r="CD112" s="152" t="s">
        <v>211</v>
      </c>
      <c r="CE112" s="152" t="s">
        <v>212</v>
      </c>
      <c r="CF112" s="152" t="s">
        <v>213</v>
      </c>
      <c r="CG112" s="152" t="s">
        <v>212</v>
      </c>
      <c r="CH112" s="151" t="s">
        <v>214</v>
      </c>
      <c r="CI112" s="152" t="s">
        <v>215</v>
      </c>
      <c r="CJ112" s="152" t="s">
        <v>8</v>
      </c>
      <c r="CK112" s="152" t="s">
        <v>39</v>
      </c>
    </row>
    <row r="113" spans="1:89" ht="15" customHeight="1">
      <c r="A113" s="85" t="s">
        <v>1</v>
      </c>
      <c r="B113" s="86" t="s">
        <v>2</v>
      </c>
      <c r="C113" s="86" t="s">
        <v>72</v>
      </c>
      <c r="D113" s="86" t="s">
        <v>3</v>
      </c>
      <c r="E113" s="86" t="s">
        <v>10</v>
      </c>
      <c r="F113" s="87" t="s">
        <v>11</v>
      </c>
      <c r="G113" s="96"/>
      <c r="H113" s="153" t="s">
        <v>216</v>
      </c>
      <c r="I113" s="819">
        <f>((13*1*4*1)/3.657)</f>
        <v>14.219305441618813</v>
      </c>
      <c r="J113" s="821">
        <f>1/1.29</f>
        <v>0.77519379844961234</v>
      </c>
      <c r="K113" s="821">
        <f>I113*J113</f>
        <v>11.02271739660373</v>
      </c>
      <c r="L113" s="821">
        <v>1.2</v>
      </c>
      <c r="M113" s="821">
        <f>K113*L113</f>
        <v>13.227260875924475</v>
      </c>
      <c r="N113" s="823" t="s">
        <v>853</v>
      </c>
      <c r="O113" s="825">
        <f>(M113*1)/4</f>
        <v>3.3068152189811189</v>
      </c>
      <c r="P113" s="88" t="s">
        <v>218</v>
      </c>
      <c r="Q113" s="154">
        <v>3.7999999999999999E-2</v>
      </c>
      <c r="S113" s="85" t="s">
        <v>1</v>
      </c>
      <c r="T113" s="86" t="s">
        <v>2</v>
      </c>
      <c r="U113" s="86" t="s">
        <v>72</v>
      </c>
      <c r="V113" s="86" t="s">
        <v>3</v>
      </c>
      <c r="W113" s="86" t="s">
        <v>10</v>
      </c>
      <c r="X113" s="87" t="s">
        <v>11</v>
      </c>
      <c r="Y113" s="96"/>
      <c r="Z113" s="153" t="s">
        <v>216</v>
      </c>
      <c r="AA113" s="831">
        <f>((OPERACIONES!E14*1*4*1)/3.657)</f>
        <v>6.5627563576702217</v>
      </c>
      <c r="AB113" s="833">
        <f>1/1.29</f>
        <v>0.77519379844961234</v>
      </c>
      <c r="AC113" s="833">
        <f>AA113*AB113</f>
        <v>5.0874080292017219</v>
      </c>
      <c r="AD113" s="833">
        <v>1.2</v>
      </c>
      <c r="AE113" s="833">
        <f>AC113*AD113</f>
        <v>6.1048896350420661</v>
      </c>
      <c r="AF113" s="835" t="s">
        <v>853</v>
      </c>
      <c r="AG113" s="837">
        <f>(AE113*1)/4</f>
        <v>1.5262224087605165</v>
      </c>
      <c r="AH113" s="88" t="s">
        <v>218</v>
      </c>
      <c r="AI113" s="154">
        <v>3.7999999999999999E-2</v>
      </c>
      <c r="AJ113" s="474"/>
      <c r="AK113" s="85" t="s">
        <v>1</v>
      </c>
      <c r="AL113" s="86" t="s">
        <v>2</v>
      </c>
      <c r="AM113" s="86" t="s">
        <v>72</v>
      </c>
      <c r="AN113" s="86" t="s">
        <v>3</v>
      </c>
      <c r="AO113" s="86" t="s">
        <v>10</v>
      </c>
      <c r="AP113" s="87" t="s">
        <v>11</v>
      </c>
      <c r="AQ113" s="96"/>
      <c r="AR113" s="153" t="s">
        <v>216</v>
      </c>
      <c r="AS113" s="831">
        <f>((8*1*4*1)/3.657)</f>
        <v>8.7503418102269617</v>
      </c>
      <c r="AT113" s="833">
        <f>1/1.29</f>
        <v>0.77519379844961234</v>
      </c>
      <c r="AU113" s="833">
        <f>AS113*AT113</f>
        <v>6.7832107056022952</v>
      </c>
      <c r="AV113" s="833">
        <v>1.2</v>
      </c>
      <c r="AW113" s="833">
        <f>AU113*AV113</f>
        <v>8.1398528467227536</v>
      </c>
      <c r="AX113" s="835" t="s">
        <v>853</v>
      </c>
      <c r="AY113" s="837">
        <f>(AW113*1)/4</f>
        <v>2.0349632116806884</v>
      </c>
      <c r="AZ113" s="88" t="s">
        <v>218</v>
      </c>
      <c r="BA113" s="154">
        <v>3.7999999999999999E-2</v>
      </c>
      <c r="BC113" s="85" t="s">
        <v>1</v>
      </c>
      <c r="BD113" s="86" t="s">
        <v>2</v>
      </c>
      <c r="BE113" s="86" t="s">
        <v>72</v>
      </c>
      <c r="BF113" s="86" t="s">
        <v>3</v>
      </c>
      <c r="BG113" s="86" t="s">
        <v>10</v>
      </c>
      <c r="BH113" s="87" t="s">
        <v>11</v>
      </c>
      <c r="BI113" s="96"/>
      <c r="BJ113" s="153" t="s">
        <v>216</v>
      </c>
      <c r="BK113" s="831">
        <f>((8*1*4*1)/3.657)</f>
        <v>8.7503418102269617</v>
      </c>
      <c r="BL113" s="833">
        <f>1/1.29</f>
        <v>0.77519379844961234</v>
      </c>
      <c r="BM113" s="833">
        <f>BK113*BL113</f>
        <v>6.7832107056022952</v>
      </c>
      <c r="BN113" s="833">
        <v>1.2</v>
      </c>
      <c r="BO113" s="833">
        <f>BM113*BN113</f>
        <v>8.1398528467227536</v>
      </c>
      <c r="BP113" s="835" t="s">
        <v>853</v>
      </c>
      <c r="BQ113" s="837">
        <f>(BO113*1)/4</f>
        <v>2.0349632116806884</v>
      </c>
      <c r="BR113" s="88" t="s">
        <v>218</v>
      </c>
      <c r="BS113" s="154">
        <v>3.7999999999999999E-2</v>
      </c>
      <c r="BU113" s="85" t="s">
        <v>1</v>
      </c>
      <c r="BV113" s="86" t="s">
        <v>2</v>
      </c>
      <c r="BW113" s="86" t="s">
        <v>72</v>
      </c>
      <c r="BX113" s="86" t="s">
        <v>3</v>
      </c>
      <c r="BY113" s="86" t="s">
        <v>10</v>
      </c>
      <c r="BZ113" s="87" t="s">
        <v>11</v>
      </c>
      <c r="CA113" s="96"/>
      <c r="CB113" s="153" t="s">
        <v>216</v>
      </c>
      <c r="CC113" s="831">
        <f>((6*1*4*1)/3.657)</f>
        <v>6.5627563576702217</v>
      </c>
      <c r="CD113" s="833">
        <f>1/1.29</f>
        <v>0.77519379844961234</v>
      </c>
      <c r="CE113" s="833">
        <f>CC113*CD113</f>
        <v>5.0874080292017219</v>
      </c>
      <c r="CF113" s="833">
        <v>1.2</v>
      </c>
      <c r="CG113" s="833">
        <f>CE113*CF113</f>
        <v>6.1048896350420661</v>
      </c>
      <c r="CH113" s="835" t="s">
        <v>853</v>
      </c>
      <c r="CI113" s="837">
        <f>(CG113*1)/4</f>
        <v>1.5262224087605165</v>
      </c>
      <c r="CJ113" s="88" t="s">
        <v>218</v>
      </c>
      <c r="CK113" s="154">
        <v>3.7999999999999999E-2</v>
      </c>
    </row>
    <row r="114" spans="1:89" ht="33.75" customHeight="1">
      <c r="A114" s="88" t="s">
        <v>219</v>
      </c>
      <c r="B114" s="145" t="s">
        <v>220</v>
      </c>
      <c r="C114" s="155">
        <f>Q119</f>
        <v>4.9602228284716787</v>
      </c>
      <c r="D114" s="71" t="s">
        <v>221</v>
      </c>
      <c r="E114" s="73">
        <f>MATERIALES!E32</f>
        <v>27.33</v>
      </c>
      <c r="F114" s="74">
        <f>(C114*E114)</f>
        <v>135.56288990213096</v>
      </c>
      <c r="G114" s="96"/>
      <c r="H114" s="452" t="s">
        <v>889</v>
      </c>
      <c r="I114" s="820"/>
      <c r="J114" s="822"/>
      <c r="K114" s="822"/>
      <c r="L114" s="822"/>
      <c r="M114" s="822"/>
      <c r="N114" s="824"/>
      <c r="O114" s="826"/>
      <c r="P114" s="101" t="s">
        <v>223</v>
      </c>
      <c r="Q114" s="157">
        <v>6.4000000000000001E-2</v>
      </c>
      <c r="S114" s="88" t="s">
        <v>219</v>
      </c>
      <c r="T114" s="145" t="s">
        <v>220</v>
      </c>
      <c r="U114" s="155">
        <f>AI119</f>
        <v>3.1796300182510757</v>
      </c>
      <c r="V114" s="71" t="s">
        <v>221</v>
      </c>
      <c r="W114" s="73">
        <f>MATERIALES!E32</f>
        <v>27.33</v>
      </c>
      <c r="X114" s="74">
        <f>(U114*W114)</f>
        <v>86.8992883988019</v>
      </c>
      <c r="Y114" s="96"/>
      <c r="Z114" s="452" t="s">
        <v>1129</v>
      </c>
      <c r="AA114" s="832"/>
      <c r="AB114" s="834"/>
      <c r="AC114" s="834"/>
      <c r="AD114" s="834"/>
      <c r="AE114" s="834"/>
      <c r="AF114" s="836"/>
      <c r="AG114" s="838"/>
      <c r="AH114" s="101" t="s">
        <v>223</v>
      </c>
      <c r="AI114" s="157">
        <v>6.4000000000000001E-2</v>
      </c>
      <c r="AJ114" s="474"/>
      <c r="AK114" s="88" t="s">
        <v>219</v>
      </c>
      <c r="AL114" s="145" t="s">
        <v>220</v>
      </c>
      <c r="AM114" s="155">
        <f>BA119</f>
        <v>3.6883708211712478</v>
      </c>
      <c r="AN114" s="71" t="s">
        <v>221</v>
      </c>
      <c r="AO114" s="73">
        <f>MATERIALES!E32</f>
        <v>27.33</v>
      </c>
      <c r="AP114" s="74">
        <f>(AM114*AO114)</f>
        <v>100.80317454261019</v>
      </c>
      <c r="AQ114" s="96"/>
      <c r="AR114" s="584" t="s">
        <v>1272</v>
      </c>
      <c r="AS114" s="832"/>
      <c r="AT114" s="834"/>
      <c r="AU114" s="834"/>
      <c r="AV114" s="834"/>
      <c r="AW114" s="834"/>
      <c r="AX114" s="836"/>
      <c r="AY114" s="838"/>
      <c r="AZ114" s="101" t="s">
        <v>223</v>
      </c>
      <c r="BA114" s="157">
        <v>6.4000000000000001E-2</v>
      </c>
      <c r="BC114" s="88" t="s">
        <v>219</v>
      </c>
      <c r="BD114" s="145" t="s">
        <v>220</v>
      </c>
      <c r="BE114" s="155">
        <f>BS119</f>
        <v>3.6883708211712478</v>
      </c>
      <c r="BF114" s="71" t="s">
        <v>221</v>
      </c>
      <c r="BG114" s="73">
        <f>MATERIALES!E32</f>
        <v>27.33</v>
      </c>
      <c r="BH114" s="74">
        <f>(BE114*BG114)</f>
        <v>100.80317454261019</v>
      </c>
      <c r="BI114" s="96"/>
      <c r="BJ114" s="584" t="s">
        <v>1279</v>
      </c>
      <c r="BK114" s="832"/>
      <c r="BL114" s="834"/>
      <c r="BM114" s="834"/>
      <c r="BN114" s="834"/>
      <c r="BO114" s="834"/>
      <c r="BP114" s="836"/>
      <c r="BQ114" s="838"/>
      <c r="BR114" s="101" t="s">
        <v>223</v>
      </c>
      <c r="BS114" s="157">
        <v>6.4000000000000001E-2</v>
      </c>
      <c r="BU114" s="88" t="s">
        <v>219</v>
      </c>
      <c r="BV114" s="145" t="s">
        <v>220</v>
      </c>
      <c r="BW114" s="155">
        <f>CK119</f>
        <v>3.1796300182510757</v>
      </c>
      <c r="BX114" s="71" t="s">
        <v>221</v>
      </c>
      <c r="BY114" s="73">
        <f>MATERIALES!E32</f>
        <v>27.33</v>
      </c>
      <c r="BZ114" s="74">
        <f>(BW114*BY114)</f>
        <v>86.8992883988019</v>
      </c>
      <c r="CA114" s="96"/>
      <c r="CB114" s="452" t="s">
        <v>1129</v>
      </c>
      <c r="CC114" s="832"/>
      <c r="CD114" s="834"/>
      <c r="CE114" s="834"/>
      <c r="CF114" s="834"/>
      <c r="CG114" s="834"/>
      <c r="CH114" s="836"/>
      <c r="CI114" s="838"/>
      <c r="CJ114" s="101" t="s">
        <v>223</v>
      </c>
      <c r="CK114" s="157">
        <v>6.4000000000000001E-2</v>
      </c>
    </row>
    <row r="115" spans="1:89" ht="15" customHeight="1">
      <c r="A115" s="101" t="s">
        <v>224</v>
      </c>
      <c r="B115" s="75" t="s">
        <v>225</v>
      </c>
      <c r="C115" s="158">
        <f>Q120</f>
        <v>2.2537217569363626</v>
      </c>
      <c r="D115" s="75" t="s">
        <v>221</v>
      </c>
      <c r="E115" s="77">
        <f>MATERIALES!E30</f>
        <v>38.79</v>
      </c>
      <c r="F115" s="78">
        <f>(C115*E115)</f>
        <v>87.421866951561498</v>
      </c>
      <c r="G115" s="96"/>
      <c r="H115" s="153" t="s">
        <v>226</v>
      </c>
      <c r="I115" s="819">
        <f>(1*3.5*3.5*1.4)/3.657</f>
        <v>4.6896363139185118</v>
      </c>
      <c r="J115" s="821">
        <f>1/1.29</f>
        <v>0.77519379844961234</v>
      </c>
      <c r="K115" s="821">
        <f>I115*J115</f>
        <v>3.6353769875337298</v>
      </c>
      <c r="L115" s="821">
        <v>1.2</v>
      </c>
      <c r="M115" s="821">
        <f>K115*L115</f>
        <v>4.3624523850404753</v>
      </c>
      <c r="N115" s="823" t="s">
        <v>854</v>
      </c>
      <c r="O115" s="825">
        <f>(M115*1)/12</f>
        <v>0.36353769875337294</v>
      </c>
      <c r="P115" s="90" t="s">
        <v>228</v>
      </c>
      <c r="Q115" s="159">
        <v>0.08</v>
      </c>
      <c r="S115" s="101" t="s">
        <v>224</v>
      </c>
      <c r="T115" s="75" t="s">
        <v>225</v>
      </c>
      <c r="U115" s="158">
        <f>AI120</f>
        <v>2.2537217569363626</v>
      </c>
      <c r="V115" s="75" t="s">
        <v>221</v>
      </c>
      <c r="W115" s="77">
        <f>MATERIALES!E30</f>
        <v>38.79</v>
      </c>
      <c r="X115" s="78">
        <f>(U115*W115)</f>
        <v>87.421866951561498</v>
      </c>
      <c r="Y115" s="96"/>
      <c r="Z115" s="153" t="s">
        <v>226</v>
      </c>
      <c r="AA115" s="831">
        <f>(1*3.5*3.5*1.4)/3.657</f>
        <v>4.6896363139185118</v>
      </c>
      <c r="AB115" s="833">
        <f>1/1.29</f>
        <v>0.77519379844961234</v>
      </c>
      <c r="AC115" s="833">
        <f>AA115*AB115</f>
        <v>3.6353769875337298</v>
      </c>
      <c r="AD115" s="833">
        <v>1.2</v>
      </c>
      <c r="AE115" s="833">
        <f>AC115*AD115</f>
        <v>4.3624523850404753</v>
      </c>
      <c r="AF115" s="835" t="s">
        <v>854</v>
      </c>
      <c r="AG115" s="837">
        <f>(AE115*1)/12</f>
        <v>0.36353769875337294</v>
      </c>
      <c r="AH115" s="90" t="s">
        <v>228</v>
      </c>
      <c r="AI115" s="159">
        <v>0.08</v>
      </c>
      <c r="AJ115" s="474"/>
      <c r="AK115" s="101" t="s">
        <v>224</v>
      </c>
      <c r="AL115" s="75" t="s">
        <v>225</v>
      </c>
      <c r="AM115" s="158">
        <f>BA120</f>
        <v>2.2537217569363626</v>
      </c>
      <c r="AN115" s="75" t="s">
        <v>221</v>
      </c>
      <c r="AO115" s="77">
        <f>MATERIALES!E30</f>
        <v>38.79</v>
      </c>
      <c r="AP115" s="78">
        <f>(AM115*AO115)</f>
        <v>87.421866951561498</v>
      </c>
      <c r="AQ115" s="96"/>
      <c r="AR115" s="153" t="s">
        <v>226</v>
      </c>
      <c r="AS115" s="831">
        <f>(1*3.5*3.5*1.4)/3.657</f>
        <v>4.6896363139185118</v>
      </c>
      <c r="AT115" s="833">
        <f>1/1.29</f>
        <v>0.77519379844961234</v>
      </c>
      <c r="AU115" s="833">
        <f>AS115*AT115</f>
        <v>3.6353769875337298</v>
      </c>
      <c r="AV115" s="833">
        <v>1.2</v>
      </c>
      <c r="AW115" s="833">
        <f>AU115*AV115</f>
        <v>4.3624523850404753</v>
      </c>
      <c r="AX115" s="835" t="s">
        <v>854</v>
      </c>
      <c r="AY115" s="837">
        <f>(AW115*1)/12</f>
        <v>0.36353769875337294</v>
      </c>
      <c r="AZ115" s="90" t="s">
        <v>228</v>
      </c>
      <c r="BA115" s="159">
        <v>0.08</v>
      </c>
      <c r="BC115" s="101" t="s">
        <v>224</v>
      </c>
      <c r="BD115" s="75" t="s">
        <v>225</v>
      </c>
      <c r="BE115" s="158">
        <f>BS120</f>
        <v>2.2537217569363626</v>
      </c>
      <c r="BF115" s="75" t="s">
        <v>221</v>
      </c>
      <c r="BG115" s="77">
        <f>MATERIALES!E30</f>
        <v>38.79</v>
      </c>
      <c r="BH115" s="78">
        <f>(BE115*BG115)</f>
        <v>87.421866951561498</v>
      </c>
      <c r="BI115" s="96"/>
      <c r="BJ115" s="153" t="s">
        <v>226</v>
      </c>
      <c r="BK115" s="831">
        <f>(1*3.5*3.5*1.4)/3.657</f>
        <v>4.6896363139185118</v>
      </c>
      <c r="BL115" s="833">
        <f>1/1.29</f>
        <v>0.77519379844961234</v>
      </c>
      <c r="BM115" s="833">
        <f>BK115*BL115</f>
        <v>3.6353769875337298</v>
      </c>
      <c r="BN115" s="833">
        <v>1.2</v>
      </c>
      <c r="BO115" s="833">
        <f>BM115*BN115</f>
        <v>4.3624523850404753</v>
      </c>
      <c r="BP115" s="835" t="s">
        <v>854</v>
      </c>
      <c r="BQ115" s="837">
        <f>(BO115*1)/12</f>
        <v>0.36353769875337294</v>
      </c>
      <c r="BR115" s="90" t="s">
        <v>228</v>
      </c>
      <c r="BS115" s="159">
        <v>0.08</v>
      </c>
      <c r="BU115" s="101" t="s">
        <v>224</v>
      </c>
      <c r="BV115" s="75" t="s">
        <v>225</v>
      </c>
      <c r="BW115" s="158">
        <f>CK120</f>
        <v>2.2537217569363626</v>
      </c>
      <c r="BX115" s="75" t="s">
        <v>221</v>
      </c>
      <c r="BY115" s="77">
        <f>MATERIALES!E30</f>
        <v>38.79</v>
      </c>
      <c r="BZ115" s="78">
        <f>(BW115*BY115)</f>
        <v>87.421866951561498</v>
      </c>
      <c r="CA115" s="96"/>
      <c r="CB115" s="153" t="s">
        <v>226</v>
      </c>
      <c r="CC115" s="831">
        <f>(1*3.5*3.5*1.4)/3.657</f>
        <v>4.6896363139185118</v>
      </c>
      <c r="CD115" s="833">
        <f>1/1.29</f>
        <v>0.77519379844961234</v>
      </c>
      <c r="CE115" s="833">
        <f>CC115*CD115</f>
        <v>3.6353769875337298</v>
      </c>
      <c r="CF115" s="833">
        <v>1.2</v>
      </c>
      <c r="CG115" s="833">
        <f>CE115*CF115</f>
        <v>4.3624523850404753</v>
      </c>
      <c r="CH115" s="835" t="s">
        <v>854</v>
      </c>
      <c r="CI115" s="837">
        <f>(CG115*1)/12</f>
        <v>0.36353769875337294</v>
      </c>
      <c r="CJ115" s="90" t="s">
        <v>228</v>
      </c>
      <c r="CK115" s="159">
        <v>0.08</v>
      </c>
    </row>
    <row r="116" spans="1:89" ht="15" customHeight="1">
      <c r="A116" s="101" t="s">
        <v>229</v>
      </c>
      <c r="B116" s="75" t="s">
        <v>230</v>
      </c>
      <c r="C116" s="158">
        <f>Q121</f>
        <v>1.7839314217397662</v>
      </c>
      <c r="D116" s="75" t="s">
        <v>221</v>
      </c>
      <c r="E116" s="77">
        <f>MATERIALES!E31</f>
        <v>77.59</v>
      </c>
      <c r="F116" s="78">
        <f>(C116*E116)</f>
        <v>138.41523901278848</v>
      </c>
      <c r="G116" s="96"/>
      <c r="H116" s="156" t="s">
        <v>897</v>
      </c>
      <c r="I116" s="820"/>
      <c r="J116" s="822"/>
      <c r="K116" s="822"/>
      <c r="L116" s="822"/>
      <c r="M116" s="822"/>
      <c r="N116" s="824"/>
      <c r="O116" s="826"/>
      <c r="P116" s="160"/>
      <c r="Q116" s="161" t="s">
        <v>232</v>
      </c>
      <c r="S116" s="101" t="s">
        <v>229</v>
      </c>
      <c r="T116" s="75" t="s">
        <v>230</v>
      </c>
      <c r="U116" s="158">
        <f>AI121</f>
        <v>1.7839314217397662</v>
      </c>
      <c r="V116" s="75" t="s">
        <v>221</v>
      </c>
      <c r="W116" s="77">
        <f>MATERIALES!E31</f>
        <v>77.59</v>
      </c>
      <c r="X116" s="78">
        <f>(U116*W116)</f>
        <v>138.41523901278848</v>
      </c>
      <c r="Y116" s="96"/>
      <c r="Z116" s="452" t="s">
        <v>897</v>
      </c>
      <c r="AA116" s="832"/>
      <c r="AB116" s="834"/>
      <c r="AC116" s="834"/>
      <c r="AD116" s="834"/>
      <c r="AE116" s="834"/>
      <c r="AF116" s="836"/>
      <c r="AG116" s="838"/>
      <c r="AH116" s="160"/>
      <c r="AI116" s="161" t="s">
        <v>232</v>
      </c>
      <c r="AJ116" s="474"/>
      <c r="AK116" s="101" t="s">
        <v>229</v>
      </c>
      <c r="AL116" s="75" t="s">
        <v>230</v>
      </c>
      <c r="AM116" s="158">
        <f>BA121</f>
        <v>1.7839314217397662</v>
      </c>
      <c r="AN116" s="75" t="s">
        <v>221</v>
      </c>
      <c r="AO116" s="77">
        <f>MATERIALES!E31</f>
        <v>77.59</v>
      </c>
      <c r="AP116" s="78">
        <f>(AM116*AO116)</f>
        <v>138.41523901278848</v>
      </c>
      <c r="AQ116" s="96"/>
      <c r="AR116" s="452" t="s">
        <v>897</v>
      </c>
      <c r="AS116" s="832"/>
      <c r="AT116" s="834"/>
      <c r="AU116" s="834"/>
      <c r="AV116" s="834"/>
      <c r="AW116" s="834"/>
      <c r="AX116" s="836"/>
      <c r="AY116" s="838"/>
      <c r="AZ116" s="160"/>
      <c r="BA116" s="161" t="s">
        <v>232</v>
      </c>
      <c r="BC116" s="101" t="s">
        <v>229</v>
      </c>
      <c r="BD116" s="75" t="s">
        <v>230</v>
      </c>
      <c r="BE116" s="158">
        <f>BS121</f>
        <v>1.7839314217397662</v>
      </c>
      <c r="BF116" s="75" t="s">
        <v>221</v>
      </c>
      <c r="BG116" s="77">
        <f>MATERIALES!E31</f>
        <v>77.59</v>
      </c>
      <c r="BH116" s="78">
        <f>(BE116*BG116)</f>
        <v>138.41523901278848</v>
      </c>
      <c r="BI116" s="96"/>
      <c r="BJ116" s="452" t="s">
        <v>897</v>
      </c>
      <c r="BK116" s="832"/>
      <c r="BL116" s="834"/>
      <c r="BM116" s="834"/>
      <c r="BN116" s="834"/>
      <c r="BO116" s="834"/>
      <c r="BP116" s="836"/>
      <c r="BQ116" s="838"/>
      <c r="BR116" s="160"/>
      <c r="BS116" s="161" t="s">
        <v>232</v>
      </c>
      <c r="BU116" s="101" t="s">
        <v>229</v>
      </c>
      <c r="BV116" s="75" t="s">
        <v>230</v>
      </c>
      <c r="BW116" s="158">
        <f>CK121</f>
        <v>2.394155416075785</v>
      </c>
      <c r="BX116" s="75" t="s">
        <v>221</v>
      </c>
      <c r="BY116" s="77">
        <f>MATERIALES!E31</f>
        <v>77.59</v>
      </c>
      <c r="BZ116" s="78">
        <f>(BW116*BY116)</f>
        <v>185.76251873332018</v>
      </c>
      <c r="CA116" s="96"/>
      <c r="CB116" s="452" t="s">
        <v>897</v>
      </c>
      <c r="CC116" s="832"/>
      <c r="CD116" s="834"/>
      <c r="CE116" s="834"/>
      <c r="CF116" s="834"/>
      <c r="CG116" s="834"/>
      <c r="CH116" s="836"/>
      <c r="CI116" s="838"/>
      <c r="CJ116" s="160"/>
      <c r="CK116" s="161" t="s">
        <v>232</v>
      </c>
    </row>
    <row r="117" spans="1:89" ht="15" customHeight="1">
      <c r="A117" s="101" t="s">
        <v>392</v>
      </c>
      <c r="B117" s="75" t="s">
        <v>233</v>
      </c>
      <c r="C117" s="76">
        <f>Q113</f>
        <v>3.7999999999999999E-2</v>
      </c>
      <c r="D117" s="75" t="s">
        <v>39</v>
      </c>
      <c r="E117" s="77">
        <f>MATERIALES!E41</f>
        <v>30.6</v>
      </c>
      <c r="F117" s="78">
        <f t="shared" ref="F117:F123" si="19">C117*E117</f>
        <v>1.1628000000000001</v>
      </c>
      <c r="G117" s="96"/>
      <c r="H117" s="381" t="s">
        <v>855</v>
      </c>
      <c r="I117" s="819">
        <f>(1*3.5*3.5*2.35)/3.657</f>
        <v>7.8718895269346465</v>
      </c>
      <c r="J117" s="821">
        <f>1/1.29</f>
        <v>0.77519379844961234</v>
      </c>
      <c r="K117" s="821">
        <f>I117*J117</f>
        <v>6.1022399433601908</v>
      </c>
      <c r="L117" s="821">
        <v>1.2</v>
      </c>
      <c r="M117" s="821">
        <f>K117*L117</f>
        <v>7.3226879320322285</v>
      </c>
      <c r="N117" s="823" t="s">
        <v>854</v>
      </c>
      <c r="O117" s="825">
        <f>(M117*1)/12</f>
        <v>0.61022399433601904</v>
      </c>
      <c r="P117" s="88" t="s">
        <v>235</v>
      </c>
      <c r="Q117" s="154">
        <v>0.8</v>
      </c>
      <c r="S117" s="101" t="s">
        <v>392</v>
      </c>
      <c r="T117" s="75" t="s">
        <v>233</v>
      </c>
      <c r="U117" s="76">
        <f>AI113</f>
        <v>3.7999999999999999E-2</v>
      </c>
      <c r="V117" s="75" t="s">
        <v>39</v>
      </c>
      <c r="W117" s="77">
        <f>MATERIALES!E41</f>
        <v>30.6</v>
      </c>
      <c r="X117" s="78">
        <f t="shared" ref="X117:X123" si="20">U117*W117</f>
        <v>1.1628000000000001</v>
      </c>
      <c r="Y117" s="96"/>
      <c r="Z117" s="381" t="s">
        <v>855</v>
      </c>
      <c r="AA117" s="831">
        <f>(1*3.5*3.5*2.35)/3.657</f>
        <v>7.8718895269346465</v>
      </c>
      <c r="AB117" s="833">
        <f>1/1.29</f>
        <v>0.77519379844961234</v>
      </c>
      <c r="AC117" s="833">
        <f>AA117*AB117</f>
        <v>6.1022399433601908</v>
      </c>
      <c r="AD117" s="833">
        <v>1.2</v>
      </c>
      <c r="AE117" s="833">
        <f>AC117*AD117</f>
        <v>7.3226879320322285</v>
      </c>
      <c r="AF117" s="835" t="s">
        <v>854</v>
      </c>
      <c r="AG117" s="837">
        <f>(AE117*1)/12</f>
        <v>0.61022399433601904</v>
      </c>
      <c r="AH117" s="88" t="s">
        <v>235</v>
      </c>
      <c r="AI117" s="154">
        <v>0.8</v>
      </c>
      <c r="AJ117" s="474"/>
      <c r="AK117" s="101" t="s">
        <v>392</v>
      </c>
      <c r="AL117" s="75" t="s">
        <v>233</v>
      </c>
      <c r="AM117" s="76">
        <f>BA113</f>
        <v>3.7999999999999999E-2</v>
      </c>
      <c r="AN117" s="75" t="s">
        <v>39</v>
      </c>
      <c r="AO117" s="77">
        <f>MATERIALES!E41</f>
        <v>30.6</v>
      </c>
      <c r="AP117" s="78">
        <f t="shared" ref="AP117:AP123" si="21">AM117*AO117</f>
        <v>1.1628000000000001</v>
      </c>
      <c r="AQ117" s="96"/>
      <c r="AR117" s="381" t="s">
        <v>855</v>
      </c>
      <c r="AS117" s="831">
        <f>(1*3.5*3.5*2.35)/3.657</f>
        <v>7.8718895269346465</v>
      </c>
      <c r="AT117" s="833">
        <f>1/1.29</f>
        <v>0.77519379844961234</v>
      </c>
      <c r="AU117" s="833">
        <f>AS117*AT117</f>
        <v>6.1022399433601908</v>
      </c>
      <c r="AV117" s="833">
        <v>1.2</v>
      </c>
      <c r="AW117" s="833">
        <f>AU117*AV117</f>
        <v>7.3226879320322285</v>
      </c>
      <c r="AX117" s="835" t="s">
        <v>854</v>
      </c>
      <c r="AY117" s="837">
        <f>(AW117*1)/12</f>
        <v>0.61022399433601904</v>
      </c>
      <c r="AZ117" s="88" t="s">
        <v>235</v>
      </c>
      <c r="BA117" s="154">
        <v>0.8</v>
      </c>
      <c r="BC117" s="101" t="s">
        <v>392</v>
      </c>
      <c r="BD117" s="75" t="s">
        <v>233</v>
      </c>
      <c r="BE117" s="76">
        <f>BS113</f>
        <v>3.7999999999999999E-2</v>
      </c>
      <c r="BF117" s="75" t="s">
        <v>39</v>
      </c>
      <c r="BG117" s="77">
        <f>MATERIALES!E41</f>
        <v>30.6</v>
      </c>
      <c r="BH117" s="78">
        <f t="shared" ref="BH117:BH123" si="22">BE117*BG117</f>
        <v>1.1628000000000001</v>
      </c>
      <c r="BI117" s="96"/>
      <c r="BJ117" s="381" t="s">
        <v>855</v>
      </c>
      <c r="BK117" s="831">
        <f>(1*3.5*3.5*2.35)/3.657</f>
        <v>7.8718895269346465</v>
      </c>
      <c r="BL117" s="833">
        <f>1/1.29</f>
        <v>0.77519379844961234</v>
      </c>
      <c r="BM117" s="833">
        <f>BK117*BL117</f>
        <v>6.1022399433601908</v>
      </c>
      <c r="BN117" s="833">
        <v>1.2</v>
      </c>
      <c r="BO117" s="833">
        <f>BM117*BN117</f>
        <v>7.3226879320322285</v>
      </c>
      <c r="BP117" s="835" t="s">
        <v>854</v>
      </c>
      <c r="BQ117" s="837">
        <f>(BO117*1)/12</f>
        <v>0.61022399433601904</v>
      </c>
      <c r="BR117" s="88" t="s">
        <v>235</v>
      </c>
      <c r="BS117" s="154">
        <v>0.8</v>
      </c>
      <c r="BU117" s="101" t="s">
        <v>392</v>
      </c>
      <c r="BV117" s="75" t="s">
        <v>233</v>
      </c>
      <c r="BW117" s="76">
        <f>CK113</f>
        <v>3.7999999999999999E-2</v>
      </c>
      <c r="BX117" s="75" t="s">
        <v>39</v>
      </c>
      <c r="BY117" s="77">
        <f>MATERIALES!E41</f>
        <v>30.6</v>
      </c>
      <c r="BZ117" s="78">
        <f t="shared" ref="BZ117:BZ123" si="23">BW117*BY117</f>
        <v>1.1628000000000001</v>
      </c>
      <c r="CA117" s="96"/>
      <c r="CB117" s="381" t="s">
        <v>855</v>
      </c>
      <c r="CC117" s="831">
        <f>(2*3.5*3.5*2.35)/3.657</f>
        <v>15.743779053869293</v>
      </c>
      <c r="CD117" s="833">
        <f>1/1.29</f>
        <v>0.77519379844961234</v>
      </c>
      <c r="CE117" s="833">
        <f>CC117*CD117</f>
        <v>12.204479886720382</v>
      </c>
      <c r="CF117" s="833">
        <v>1.2</v>
      </c>
      <c r="CG117" s="833">
        <f>CE117*CF117</f>
        <v>14.645375864064457</v>
      </c>
      <c r="CH117" s="835" t="s">
        <v>854</v>
      </c>
      <c r="CI117" s="837">
        <f>(CG117*1)/12</f>
        <v>1.2204479886720381</v>
      </c>
      <c r="CJ117" s="88" t="s">
        <v>235</v>
      </c>
      <c r="CK117" s="154">
        <v>0.8</v>
      </c>
    </row>
    <row r="118" spans="1:89" ht="15" customHeight="1">
      <c r="A118" s="101" t="s">
        <v>392</v>
      </c>
      <c r="B118" s="75" t="s">
        <v>236</v>
      </c>
      <c r="C118" s="76">
        <f>Q114</f>
        <v>6.4000000000000001E-2</v>
      </c>
      <c r="D118" s="75" t="s">
        <v>39</v>
      </c>
      <c r="E118" s="77">
        <f>MATERIALES!E41</f>
        <v>30.6</v>
      </c>
      <c r="F118" s="78">
        <f t="shared" si="19"/>
        <v>1.9584000000000001</v>
      </c>
      <c r="G118" s="96"/>
      <c r="H118" s="452" t="s">
        <v>1128</v>
      </c>
      <c r="I118" s="820"/>
      <c r="J118" s="822"/>
      <c r="K118" s="822"/>
      <c r="L118" s="822"/>
      <c r="M118" s="822"/>
      <c r="N118" s="824"/>
      <c r="O118" s="826"/>
      <c r="P118" s="162"/>
      <c r="Q118" s="163"/>
      <c r="S118" s="101" t="s">
        <v>392</v>
      </c>
      <c r="T118" s="75" t="s">
        <v>236</v>
      </c>
      <c r="U118" s="76">
        <f>AI114</f>
        <v>6.4000000000000001E-2</v>
      </c>
      <c r="V118" s="75" t="s">
        <v>39</v>
      </c>
      <c r="W118" s="77">
        <f>MATERIALES!E41</f>
        <v>30.6</v>
      </c>
      <c r="X118" s="78">
        <f t="shared" si="20"/>
        <v>1.9584000000000001</v>
      </c>
      <c r="Y118" s="96"/>
      <c r="Z118" s="452" t="s">
        <v>1128</v>
      </c>
      <c r="AA118" s="832"/>
      <c r="AB118" s="834"/>
      <c r="AC118" s="834"/>
      <c r="AD118" s="834"/>
      <c r="AE118" s="834"/>
      <c r="AF118" s="836"/>
      <c r="AG118" s="838"/>
      <c r="AH118" s="162"/>
      <c r="AI118" s="163"/>
      <c r="AJ118" s="474"/>
      <c r="AK118" s="101" t="s">
        <v>392</v>
      </c>
      <c r="AL118" s="75" t="s">
        <v>236</v>
      </c>
      <c r="AM118" s="76">
        <f>BA114</f>
        <v>6.4000000000000001E-2</v>
      </c>
      <c r="AN118" s="75" t="s">
        <v>39</v>
      </c>
      <c r="AO118" s="77">
        <f>MATERIALES!E41</f>
        <v>30.6</v>
      </c>
      <c r="AP118" s="78">
        <f t="shared" si="21"/>
        <v>1.9584000000000001</v>
      </c>
      <c r="AQ118" s="96"/>
      <c r="AR118" s="452" t="s">
        <v>1128</v>
      </c>
      <c r="AS118" s="832"/>
      <c r="AT118" s="834"/>
      <c r="AU118" s="834"/>
      <c r="AV118" s="834"/>
      <c r="AW118" s="834"/>
      <c r="AX118" s="836"/>
      <c r="AY118" s="838"/>
      <c r="AZ118" s="162"/>
      <c r="BA118" s="163"/>
      <c r="BC118" s="101" t="s">
        <v>392</v>
      </c>
      <c r="BD118" s="75" t="s">
        <v>236</v>
      </c>
      <c r="BE118" s="76">
        <f>BS114</f>
        <v>6.4000000000000001E-2</v>
      </c>
      <c r="BF118" s="75" t="s">
        <v>39</v>
      </c>
      <c r="BG118" s="77">
        <f>MATERIALES!E41</f>
        <v>30.6</v>
      </c>
      <c r="BH118" s="78">
        <f t="shared" si="22"/>
        <v>1.9584000000000001</v>
      </c>
      <c r="BI118" s="96"/>
      <c r="BJ118" s="452" t="s">
        <v>1128</v>
      </c>
      <c r="BK118" s="832"/>
      <c r="BL118" s="834"/>
      <c r="BM118" s="834"/>
      <c r="BN118" s="834"/>
      <c r="BO118" s="834"/>
      <c r="BP118" s="836"/>
      <c r="BQ118" s="838"/>
      <c r="BR118" s="162"/>
      <c r="BS118" s="163"/>
      <c r="BU118" s="101" t="s">
        <v>392</v>
      </c>
      <c r="BV118" s="75" t="s">
        <v>236</v>
      </c>
      <c r="BW118" s="76">
        <f>CK114</f>
        <v>6.4000000000000001E-2</v>
      </c>
      <c r="BX118" s="75" t="s">
        <v>39</v>
      </c>
      <c r="BY118" s="77">
        <f>MATERIALES!E41</f>
        <v>30.6</v>
      </c>
      <c r="BZ118" s="78">
        <f t="shared" si="23"/>
        <v>1.9584000000000001</v>
      </c>
      <c r="CA118" s="96"/>
      <c r="CB118" s="452" t="s">
        <v>1285</v>
      </c>
      <c r="CC118" s="832"/>
      <c r="CD118" s="834"/>
      <c r="CE118" s="834"/>
      <c r="CF118" s="834"/>
      <c r="CG118" s="834"/>
      <c r="CH118" s="836"/>
      <c r="CI118" s="838"/>
      <c r="CJ118" s="162"/>
      <c r="CK118" s="163"/>
    </row>
    <row r="119" spans="1:89" ht="15" customHeight="1">
      <c r="A119" s="101" t="s">
        <v>203</v>
      </c>
      <c r="B119" s="75" t="s">
        <v>238</v>
      </c>
      <c r="C119" s="76">
        <f>Q115</f>
        <v>0.08</v>
      </c>
      <c r="D119" s="75" t="s">
        <v>39</v>
      </c>
      <c r="E119" s="77">
        <f>MATERIALES!E27</f>
        <v>26.32</v>
      </c>
      <c r="F119" s="78">
        <f t="shared" si="19"/>
        <v>2.1055999999999999</v>
      </c>
      <c r="G119" s="96"/>
      <c r="H119" s="153" t="s">
        <v>239</v>
      </c>
      <c r="I119" s="819">
        <f>(1*1*4*1)/3.657</f>
        <v>1.0937927262783702</v>
      </c>
      <c r="J119" s="821">
        <f>1/1.29</f>
        <v>0.77519379844961234</v>
      </c>
      <c r="K119" s="821">
        <f>I119*J119</f>
        <v>0.8479013382002869</v>
      </c>
      <c r="L119" s="821">
        <v>1.2</v>
      </c>
      <c r="M119" s="821">
        <f>K119*L119</f>
        <v>1.0174816058403442</v>
      </c>
      <c r="N119" s="823" t="s">
        <v>853</v>
      </c>
      <c r="O119" s="825">
        <f>(M119*1)/4</f>
        <v>0.25437040146008605</v>
      </c>
      <c r="P119" s="164" t="s">
        <v>241</v>
      </c>
      <c r="Q119" s="165">
        <f>O113+O119+O125+O129</f>
        <v>4.9602228284716787</v>
      </c>
      <c r="S119" s="101" t="s">
        <v>203</v>
      </c>
      <c r="T119" s="75" t="s">
        <v>238</v>
      </c>
      <c r="U119" s="76">
        <f>AI115</f>
        <v>0.08</v>
      </c>
      <c r="V119" s="75" t="s">
        <v>39</v>
      </c>
      <c r="W119" s="77">
        <f>MATERIALES!E27</f>
        <v>26.32</v>
      </c>
      <c r="X119" s="78">
        <f t="shared" si="20"/>
        <v>2.1055999999999999</v>
      </c>
      <c r="Y119" s="96"/>
      <c r="Z119" s="153" t="s">
        <v>239</v>
      </c>
      <c r="AA119" s="831">
        <f>(1*1*4*1)/3.657</f>
        <v>1.0937927262783702</v>
      </c>
      <c r="AB119" s="833">
        <f>1/1.29</f>
        <v>0.77519379844961234</v>
      </c>
      <c r="AC119" s="833">
        <f>AA119*AB119</f>
        <v>0.8479013382002869</v>
      </c>
      <c r="AD119" s="833">
        <v>1.2</v>
      </c>
      <c r="AE119" s="833">
        <f>AC119*AD119</f>
        <v>1.0174816058403442</v>
      </c>
      <c r="AF119" s="835" t="s">
        <v>853</v>
      </c>
      <c r="AG119" s="837">
        <f>(AE119*1)/4</f>
        <v>0.25437040146008605</v>
      </c>
      <c r="AH119" s="164" t="s">
        <v>241</v>
      </c>
      <c r="AI119" s="165">
        <f>AG113+AG119+AG125+AG129</f>
        <v>3.1796300182510757</v>
      </c>
      <c r="AJ119" s="474"/>
      <c r="AK119" s="101" t="s">
        <v>203</v>
      </c>
      <c r="AL119" s="75" t="s">
        <v>238</v>
      </c>
      <c r="AM119" s="76">
        <f>BA115</f>
        <v>0.08</v>
      </c>
      <c r="AN119" s="75" t="s">
        <v>39</v>
      </c>
      <c r="AO119" s="77">
        <f>MATERIALES!E27</f>
        <v>26.32</v>
      </c>
      <c r="AP119" s="78">
        <f t="shared" si="21"/>
        <v>2.1055999999999999</v>
      </c>
      <c r="AQ119" s="96"/>
      <c r="AR119" s="153" t="s">
        <v>239</v>
      </c>
      <c r="AS119" s="831">
        <f>(1*1*4*1)/3.657</f>
        <v>1.0937927262783702</v>
      </c>
      <c r="AT119" s="833">
        <f>1/1.29</f>
        <v>0.77519379844961234</v>
      </c>
      <c r="AU119" s="833">
        <f>AS119*AT119</f>
        <v>0.8479013382002869</v>
      </c>
      <c r="AV119" s="833">
        <v>1.2</v>
      </c>
      <c r="AW119" s="833">
        <f>AU119*AV119</f>
        <v>1.0174816058403442</v>
      </c>
      <c r="AX119" s="835" t="s">
        <v>853</v>
      </c>
      <c r="AY119" s="837">
        <f>(AW119*1)/4</f>
        <v>0.25437040146008605</v>
      </c>
      <c r="AZ119" s="164" t="s">
        <v>241</v>
      </c>
      <c r="BA119" s="165">
        <f>AY113+AY119+AY125+AY129</f>
        <v>3.6883708211712478</v>
      </c>
      <c r="BC119" s="101" t="s">
        <v>203</v>
      </c>
      <c r="BD119" s="75" t="s">
        <v>238</v>
      </c>
      <c r="BE119" s="76">
        <f>BS115</f>
        <v>0.08</v>
      </c>
      <c r="BF119" s="75" t="s">
        <v>39</v>
      </c>
      <c r="BG119" s="77">
        <f>MATERIALES!E27</f>
        <v>26.32</v>
      </c>
      <c r="BH119" s="78">
        <f t="shared" si="22"/>
        <v>2.1055999999999999</v>
      </c>
      <c r="BI119" s="96"/>
      <c r="BJ119" s="153" t="s">
        <v>239</v>
      </c>
      <c r="BK119" s="831">
        <f>(1*1*4*1)/3.657</f>
        <v>1.0937927262783702</v>
      </c>
      <c r="BL119" s="833">
        <f>1/1.29</f>
        <v>0.77519379844961234</v>
      </c>
      <c r="BM119" s="833">
        <f>BK119*BL119</f>
        <v>0.8479013382002869</v>
      </c>
      <c r="BN119" s="833">
        <v>1.2</v>
      </c>
      <c r="BO119" s="833">
        <f>BM119*BN119</f>
        <v>1.0174816058403442</v>
      </c>
      <c r="BP119" s="835" t="s">
        <v>853</v>
      </c>
      <c r="BQ119" s="837">
        <f>(BO119*1)/4</f>
        <v>0.25437040146008605</v>
      </c>
      <c r="BR119" s="164" t="s">
        <v>241</v>
      </c>
      <c r="BS119" s="165">
        <f>BQ113+BQ119+BQ125+BQ129</f>
        <v>3.6883708211712478</v>
      </c>
      <c r="BU119" s="101" t="s">
        <v>203</v>
      </c>
      <c r="BV119" s="75" t="s">
        <v>238</v>
      </c>
      <c r="BW119" s="76">
        <f>CK115</f>
        <v>0.08</v>
      </c>
      <c r="BX119" s="75" t="s">
        <v>39</v>
      </c>
      <c r="BY119" s="77">
        <f>MATERIALES!E27</f>
        <v>26.32</v>
      </c>
      <c r="BZ119" s="78">
        <f t="shared" si="23"/>
        <v>2.1055999999999999</v>
      </c>
      <c r="CA119" s="96"/>
      <c r="CB119" s="153" t="s">
        <v>239</v>
      </c>
      <c r="CC119" s="831">
        <f>(1*1*4*1)/3.657</f>
        <v>1.0937927262783702</v>
      </c>
      <c r="CD119" s="833">
        <f>1/1.29</f>
        <v>0.77519379844961234</v>
      </c>
      <c r="CE119" s="833">
        <f>CC119*CD119</f>
        <v>0.8479013382002869</v>
      </c>
      <c r="CF119" s="833">
        <v>1.2</v>
      </c>
      <c r="CG119" s="833">
        <f>CE119*CF119</f>
        <v>1.0174816058403442</v>
      </c>
      <c r="CH119" s="835" t="s">
        <v>853</v>
      </c>
      <c r="CI119" s="837">
        <f>(CG119*1)/4</f>
        <v>0.25437040146008605</v>
      </c>
      <c r="CJ119" s="164" t="s">
        <v>241</v>
      </c>
      <c r="CK119" s="165">
        <f>CI113+CI119+CI125+CI129</f>
        <v>3.1796300182510757</v>
      </c>
    </row>
    <row r="120" spans="1:89" ht="15" customHeight="1">
      <c r="A120" s="101" t="s">
        <v>242</v>
      </c>
      <c r="B120" s="75" t="s">
        <v>243</v>
      </c>
      <c r="C120" s="76">
        <f>Q117</f>
        <v>0.8</v>
      </c>
      <c r="D120" s="75" t="s">
        <v>232</v>
      </c>
      <c r="E120" s="77">
        <f>MATERIALES!E17</f>
        <v>18.57</v>
      </c>
      <c r="F120" s="78">
        <f t="shared" si="19"/>
        <v>14.856000000000002</v>
      </c>
      <c r="G120" s="96"/>
      <c r="H120" s="156" t="s">
        <v>893</v>
      </c>
      <c r="I120" s="820"/>
      <c r="J120" s="822"/>
      <c r="K120" s="822"/>
      <c r="L120" s="822"/>
      <c r="M120" s="822"/>
      <c r="N120" s="824"/>
      <c r="O120" s="826"/>
      <c r="P120" s="164" t="s">
        <v>245</v>
      </c>
      <c r="Q120" s="165">
        <f>O121+O127</f>
        <v>2.2537217569363626</v>
      </c>
      <c r="S120" s="101" t="s">
        <v>242</v>
      </c>
      <c r="T120" s="75" t="s">
        <v>243</v>
      </c>
      <c r="U120" s="76">
        <f>AI117</f>
        <v>0.8</v>
      </c>
      <c r="V120" s="75" t="s">
        <v>232</v>
      </c>
      <c r="W120" s="77">
        <f>MATERIALES!E17</f>
        <v>18.57</v>
      </c>
      <c r="X120" s="78">
        <f t="shared" si="20"/>
        <v>14.856000000000002</v>
      </c>
      <c r="Y120" s="96"/>
      <c r="Z120" s="156" t="s">
        <v>893</v>
      </c>
      <c r="AA120" s="832"/>
      <c r="AB120" s="834"/>
      <c r="AC120" s="834"/>
      <c r="AD120" s="834"/>
      <c r="AE120" s="834"/>
      <c r="AF120" s="836"/>
      <c r="AG120" s="838"/>
      <c r="AH120" s="164" t="s">
        <v>245</v>
      </c>
      <c r="AI120" s="165">
        <f>AG121+AG127</f>
        <v>2.2537217569363626</v>
      </c>
      <c r="AJ120" s="474"/>
      <c r="AK120" s="101" t="s">
        <v>242</v>
      </c>
      <c r="AL120" s="75" t="s">
        <v>243</v>
      </c>
      <c r="AM120" s="76">
        <f>BA117</f>
        <v>0.8</v>
      </c>
      <c r="AN120" s="75" t="s">
        <v>232</v>
      </c>
      <c r="AO120" s="77">
        <f>MATERIALES!E17</f>
        <v>18.57</v>
      </c>
      <c r="AP120" s="78">
        <f t="shared" si="21"/>
        <v>14.856000000000002</v>
      </c>
      <c r="AQ120" s="96"/>
      <c r="AR120" s="156" t="s">
        <v>893</v>
      </c>
      <c r="AS120" s="832"/>
      <c r="AT120" s="834"/>
      <c r="AU120" s="834"/>
      <c r="AV120" s="834"/>
      <c r="AW120" s="834"/>
      <c r="AX120" s="836"/>
      <c r="AY120" s="838"/>
      <c r="AZ120" s="164" t="s">
        <v>245</v>
      </c>
      <c r="BA120" s="165">
        <f>AY121+AY127</f>
        <v>2.2537217569363626</v>
      </c>
      <c r="BC120" s="101" t="s">
        <v>242</v>
      </c>
      <c r="BD120" s="75" t="s">
        <v>243</v>
      </c>
      <c r="BE120" s="76">
        <f>BS117</f>
        <v>0.8</v>
      </c>
      <c r="BF120" s="75" t="s">
        <v>232</v>
      </c>
      <c r="BG120" s="77">
        <f>MATERIALES!E17</f>
        <v>18.57</v>
      </c>
      <c r="BH120" s="78">
        <f t="shared" si="22"/>
        <v>14.856000000000002</v>
      </c>
      <c r="BI120" s="96"/>
      <c r="BJ120" s="156" t="s">
        <v>893</v>
      </c>
      <c r="BK120" s="832"/>
      <c r="BL120" s="834"/>
      <c r="BM120" s="834"/>
      <c r="BN120" s="834"/>
      <c r="BO120" s="834"/>
      <c r="BP120" s="836"/>
      <c r="BQ120" s="838"/>
      <c r="BR120" s="164" t="s">
        <v>245</v>
      </c>
      <c r="BS120" s="165">
        <f>BQ121+BQ127</f>
        <v>2.2537217569363626</v>
      </c>
      <c r="BU120" s="101" t="s">
        <v>242</v>
      </c>
      <c r="BV120" s="75" t="s">
        <v>243</v>
      </c>
      <c r="BW120" s="76">
        <f>CK117</f>
        <v>0.8</v>
      </c>
      <c r="BX120" s="75" t="s">
        <v>232</v>
      </c>
      <c r="BY120" s="77">
        <f>MATERIALES!E17</f>
        <v>18.57</v>
      </c>
      <c r="BZ120" s="78">
        <f t="shared" si="23"/>
        <v>14.856000000000002</v>
      </c>
      <c r="CA120" s="96"/>
      <c r="CB120" s="156" t="s">
        <v>893</v>
      </c>
      <c r="CC120" s="832"/>
      <c r="CD120" s="834"/>
      <c r="CE120" s="834"/>
      <c r="CF120" s="834"/>
      <c r="CG120" s="834"/>
      <c r="CH120" s="836"/>
      <c r="CI120" s="838"/>
      <c r="CJ120" s="164" t="s">
        <v>245</v>
      </c>
      <c r="CK120" s="165">
        <f>CI121+CI127</f>
        <v>2.2537217569363626</v>
      </c>
    </row>
    <row r="121" spans="1:89" ht="15" customHeight="1">
      <c r="A121" s="101" t="s">
        <v>24</v>
      </c>
      <c r="B121" s="75" t="s">
        <v>205</v>
      </c>
      <c r="C121" s="76">
        <v>0.03</v>
      </c>
      <c r="D121" s="75" t="s">
        <v>25</v>
      </c>
      <c r="E121" s="77">
        <f>F123</f>
        <v>159.72311068627454</v>
      </c>
      <c r="F121" s="78">
        <f t="shared" si="19"/>
        <v>4.7916933205882364</v>
      </c>
      <c r="G121" s="96"/>
      <c r="H121" s="153" t="s">
        <v>246</v>
      </c>
      <c r="I121" s="819">
        <f>(1*2*4*0.45)/3.657</f>
        <v>0.98441345365053323</v>
      </c>
      <c r="J121" s="821">
        <f>1/1.29</f>
        <v>0.77519379844961234</v>
      </c>
      <c r="K121" s="821">
        <f>I121*J121</f>
        <v>0.76311120438025826</v>
      </c>
      <c r="L121" s="821">
        <v>1.2</v>
      </c>
      <c r="M121" s="821">
        <f>K121*L121</f>
        <v>0.91573344525630984</v>
      </c>
      <c r="N121" s="823" t="s">
        <v>853</v>
      </c>
      <c r="O121" s="825">
        <f>(M121*1)/4</f>
        <v>0.22893336131407746</v>
      </c>
      <c r="P121" s="164" t="s">
        <v>247</v>
      </c>
      <c r="Q121" s="165">
        <f>O115+O123+O117+O131</f>
        <v>1.7839314217397662</v>
      </c>
      <c r="S121" s="101" t="s">
        <v>24</v>
      </c>
      <c r="T121" s="75" t="s">
        <v>205</v>
      </c>
      <c r="U121" s="76">
        <v>0.03</v>
      </c>
      <c r="V121" s="75" t="s">
        <v>25</v>
      </c>
      <c r="W121" s="77">
        <f>X123</f>
        <v>159.72311068627454</v>
      </c>
      <c r="X121" s="78">
        <f t="shared" si="20"/>
        <v>4.7916933205882364</v>
      </c>
      <c r="Y121" s="96"/>
      <c r="Z121" s="153" t="s">
        <v>246</v>
      </c>
      <c r="AA121" s="831">
        <f>(1*2*4*0.45)/3.657</f>
        <v>0.98441345365053323</v>
      </c>
      <c r="AB121" s="833">
        <f>1/1.29</f>
        <v>0.77519379844961234</v>
      </c>
      <c r="AC121" s="833">
        <f>AA121*AB121</f>
        <v>0.76311120438025826</v>
      </c>
      <c r="AD121" s="833">
        <v>1.2</v>
      </c>
      <c r="AE121" s="833">
        <f>AC121*AD121</f>
        <v>0.91573344525630984</v>
      </c>
      <c r="AF121" s="835" t="s">
        <v>853</v>
      </c>
      <c r="AG121" s="837">
        <f>(AE121*1)/4</f>
        <v>0.22893336131407746</v>
      </c>
      <c r="AH121" s="164" t="s">
        <v>247</v>
      </c>
      <c r="AI121" s="165">
        <f>AG115+AG123+AG117+AG131</f>
        <v>1.7839314217397662</v>
      </c>
      <c r="AJ121" s="474"/>
      <c r="AK121" s="101" t="s">
        <v>24</v>
      </c>
      <c r="AL121" s="75" t="s">
        <v>205</v>
      </c>
      <c r="AM121" s="76">
        <v>0.03</v>
      </c>
      <c r="AN121" s="75" t="s">
        <v>25</v>
      </c>
      <c r="AO121" s="77">
        <f>AP123</f>
        <v>159.72311068627454</v>
      </c>
      <c r="AP121" s="78">
        <f t="shared" si="21"/>
        <v>4.7916933205882364</v>
      </c>
      <c r="AQ121" s="96"/>
      <c r="AR121" s="153" t="s">
        <v>246</v>
      </c>
      <c r="AS121" s="831">
        <f>(1*2*4*0.45)/3.657</f>
        <v>0.98441345365053323</v>
      </c>
      <c r="AT121" s="833">
        <f>1/1.29</f>
        <v>0.77519379844961234</v>
      </c>
      <c r="AU121" s="833">
        <f>AS121*AT121</f>
        <v>0.76311120438025826</v>
      </c>
      <c r="AV121" s="833">
        <v>1.2</v>
      </c>
      <c r="AW121" s="833">
        <f>AU121*AV121</f>
        <v>0.91573344525630984</v>
      </c>
      <c r="AX121" s="835" t="s">
        <v>853</v>
      </c>
      <c r="AY121" s="837">
        <f>(AW121*1)/4</f>
        <v>0.22893336131407746</v>
      </c>
      <c r="AZ121" s="164" t="s">
        <v>247</v>
      </c>
      <c r="BA121" s="165">
        <f>AY115+AY123+AY117+AY131</f>
        <v>1.7839314217397662</v>
      </c>
      <c r="BC121" s="101" t="s">
        <v>24</v>
      </c>
      <c r="BD121" s="75" t="s">
        <v>205</v>
      </c>
      <c r="BE121" s="76">
        <v>0.03</v>
      </c>
      <c r="BF121" s="75" t="s">
        <v>25</v>
      </c>
      <c r="BG121" s="77">
        <f>BH123</f>
        <v>159.72311068627454</v>
      </c>
      <c r="BH121" s="78">
        <f t="shared" si="22"/>
        <v>4.7916933205882364</v>
      </c>
      <c r="BI121" s="96"/>
      <c r="BJ121" s="153" t="s">
        <v>246</v>
      </c>
      <c r="BK121" s="831">
        <f>(1*2*4*0.45)/3.657</f>
        <v>0.98441345365053323</v>
      </c>
      <c r="BL121" s="833">
        <f>1/1.29</f>
        <v>0.77519379844961234</v>
      </c>
      <c r="BM121" s="833">
        <f>BK121*BL121</f>
        <v>0.76311120438025826</v>
      </c>
      <c r="BN121" s="833">
        <v>1.2</v>
      </c>
      <c r="BO121" s="833">
        <f>BM121*BN121</f>
        <v>0.91573344525630984</v>
      </c>
      <c r="BP121" s="835" t="s">
        <v>853</v>
      </c>
      <c r="BQ121" s="837">
        <f>(BO121*1)/4</f>
        <v>0.22893336131407746</v>
      </c>
      <c r="BR121" s="164" t="s">
        <v>247</v>
      </c>
      <c r="BS121" s="165">
        <f>BQ115+BQ123+BQ117+BQ131</f>
        <v>1.7839314217397662</v>
      </c>
      <c r="BU121" s="101" t="s">
        <v>24</v>
      </c>
      <c r="BV121" s="75" t="s">
        <v>205</v>
      </c>
      <c r="BW121" s="76">
        <v>0.03</v>
      </c>
      <c r="BX121" s="75" t="s">
        <v>25</v>
      </c>
      <c r="BY121" s="77">
        <f>BZ123</f>
        <v>159.72311068627454</v>
      </c>
      <c r="BZ121" s="78">
        <f t="shared" si="23"/>
        <v>4.7916933205882364</v>
      </c>
      <c r="CA121" s="96"/>
      <c r="CB121" s="153" t="s">
        <v>246</v>
      </c>
      <c r="CC121" s="831">
        <f>(1*2*4*0.45)/3.657</f>
        <v>0.98441345365053323</v>
      </c>
      <c r="CD121" s="833">
        <f>1/1.29</f>
        <v>0.77519379844961234</v>
      </c>
      <c r="CE121" s="833">
        <f>CC121*CD121</f>
        <v>0.76311120438025826</v>
      </c>
      <c r="CF121" s="833">
        <v>1.2</v>
      </c>
      <c r="CG121" s="833">
        <f>CE121*CF121</f>
        <v>0.91573344525630984</v>
      </c>
      <c r="CH121" s="835" t="s">
        <v>853</v>
      </c>
      <c r="CI121" s="837">
        <f>(CG121*1)/4</f>
        <v>0.22893336131407746</v>
      </c>
      <c r="CJ121" s="164" t="s">
        <v>247</v>
      </c>
      <c r="CK121" s="165">
        <f>CI115+CI123+CI117+CI131</f>
        <v>2.394155416075785</v>
      </c>
    </row>
    <row r="122" spans="1:89" ht="15" customHeight="1">
      <c r="A122" s="101" t="s">
        <v>196</v>
      </c>
      <c r="B122" s="75" t="s">
        <v>206</v>
      </c>
      <c r="C122" s="76">
        <v>0.02</v>
      </c>
      <c r="D122" s="75" t="s">
        <v>25</v>
      </c>
      <c r="E122" s="77">
        <f>F123</f>
        <v>159.72311068627454</v>
      </c>
      <c r="F122" s="78">
        <f t="shared" si="19"/>
        <v>3.1944622137254908</v>
      </c>
      <c r="G122" s="96"/>
      <c r="H122" s="156" t="s">
        <v>895</v>
      </c>
      <c r="I122" s="820"/>
      <c r="J122" s="822"/>
      <c r="K122" s="822"/>
      <c r="L122" s="822"/>
      <c r="M122" s="822"/>
      <c r="N122" s="824"/>
      <c r="O122" s="826"/>
      <c r="P122" s="166"/>
      <c r="Q122" s="115"/>
      <c r="S122" s="101" t="s">
        <v>196</v>
      </c>
      <c r="T122" s="75" t="s">
        <v>206</v>
      </c>
      <c r="U122" s="76">
        <v>0.02</v>
      </c>
      <c r="V122" s="75" t="s">
        <v>25</v>
      </c>
      <c r="W122" s="77">
        <f>X123</f>
        <v>159.72311068627454</v>
      </c>
      <c r="X122" s="78">
        <f t="shared" si="20"/>
        <v>3.1944622137254908</v>
      </c>
      <c r="Y122" s="96"/>
      <c r="Z122" s="156" t="s">
        <v>895</v>
      </c>
      <c r="AA122" s="832"/>
      <c r="AB122" s="834"/>
      <c r="AC122" s="834"/>
      <c r="AD122" s="834"/>
      <c r="AE122" s="834"/>
      <c r="AF122" s="836"/>
      <c r="AG122" s="838"/>
      <c r="AH122" s="166"/>
      <c r="AI122" s="115"/>
      <c r="AJ122" s="474"/>
      <c r="AK122" s="101" t="s">
        <v>196</v>
      </c>
      <c r="AL122" s="75" t="s">
        <v>206</v>
      </c>
      <c r="AM122" s="76">
        <v>0.02</v>
      </c>
      <c r="AN122" s="75" t="s">
        <v>25</v>
      </c>
      <c r="AO122" s="77">
        <f>AP123</f>
        <v>159.72311068627454</v>
      </c>
      <c r="AP122" s="78">
        <f t="shared" si="21"/>
        <v>3.1944622137254908</v>
      </c>
      <c r="AQ122" s="96"/>
      <c r="AR122" s="156" t="s">
        <v>895</v>
      </c>
      <c r="AS122" s="832"/>
      <c r="AT122" s="834"/>
      <c r="AU122" s="834"/>
      <c r="AV122" s="834"/>
      <c r="AW122" s="834"/>
      <c r="AX122" s="836"/>
      <c r="AY122" s="838"/>
      <c r="AZ122" s="166"/>
      <c r="BA122" s="115"/>
      <c r="BC122" s="101" t="s">
        <v>196</v>
      </c>
      <c r="BD122" s="75" t="s">
        <v>206</v>
      </c>
      <c r="BE122" s="76">
        <v>0.02</v>
      </c>
      <c r="BF122" s="75" t="s">
        <v>25</v>
      </c>
      <c r="BG122" s="77">
        <f>BH123</f>
        <v>159.72311068627454</v>
      </c>
      <c r="BH122" s="78">
        <f t="shared" si="22"/>
        <v>3.1944622137254908</v>
      </c>
      <c r="BI122" s="96"/>
      <c r="BJ122" s="156" t="s">
        <v>895</v>
      </c>
      <c r="BK122" s="832"/>
      <c r="BL122" s="834"/>
      <c r="BM122" s="834"/>
      <c r="BN122" s="834"/>
      <c r="BO122" s="834"/>
      <c r="BP122" s="836"/>
      <c r="BQ122" s="838"/>
      <c r="BR122" s="166"/>
      <c r="BS122" s="115"/>
      <c r="BU122" s="101" t="s">
        <v>196</v>
      </c>
      <c r="BV122" s="75" t="s">
        <v>206</v>
      </c>
      <c r="BW122" s="76">
        <v>0.02</v>
      </c>
      <c r="BX122" s="75" t="s">
        <v>25</v>
      </c>
      <c r="BY122" s="77">
        <f>BZ123</f>
        <v>159.72311068627454</v>
      </c>
      <c r="BZ122" s="78">
        <f t="shared" si="23"/>
        <v>3.1944622137254908</v>
      </c>
      <c r="CA122" s="96"/>
      <c r="CB122" s="156" t="s">
        <v>895</v>
      </c>
      <c r="CC122" s="832"/>
      <c r="CD122" s="834"/>
      <c r="CE122" s="834"/>
      <c r="CF122" s="834"/>
      <c r="CG122" s="834"/>
      <c r="CH122" s="836"/>
      <c r="CI122" s="838"/>
      <c r="CJ122" s="166"/>
      <c r="CK122" s="115"/>
    </row>
    <row r="123" spans="1:89" ht="46.5" customHeight="1">
      <c r="A123" s="384" t="s">
        <v>286</v>
      </c>
      <c r="B123" s="167" t="s">
        <v>249</v>
      </c>
      <c r="C123" s="91">
        <f>1/10.2</f>
        <v>9.8039215686274522E-2</v>
      </c>
      <c r="D123" s="79" t="s">
        <v>21</v>
      </c>
      <c r="E123" s="81">
        <f>'ANÁLISIS CUADRILLAS'!F42</f>
        <v>1629.175729</v>
      </c>
      <c r="F123" s="82">
        <f t="shared" si="19"/>
        <v>159.72311068627454</v>
      </c>
      <c r="G123" s="96"/>
      <c r="H123" s="153" t="s">
        <v>250</v>
      </c>
      <c r="I123" s="819">
        <f>(1*3.5*3.5*1.12)/3.657</f>
        <v>3.7517090511348101</v>
      </c>
      <c r="J123" s="821">
        <f>1/1.29</f>
        <v>0.77519379844961234</v>
      </c>
      <c r="K123" s="821">
        <f>I123*J123</f>
        <v>2.9083015900269844</v>
      </c>
      <c r="L123" s="821">
        <v>1.2</v>
      </c>
      <c r="M123" s="821">
        <f>K123*L123</f>
        <v>3.4899619080323814</v>
      </c>
      <c r="N123" s="823" t="s">
        <v>854</v>
      </c>
      <c r="O123" s="825">
        <f>(M123*1)/12</f>
        <v>0.29083015900269843</v>
      </c>
      <c r="P123" s="67"/>
      <c r="Q123" s="61"/>
      <c r="S123" s="384" t="s">
        <v>286</v>
      </c>
      <c r="T123" s="167" t="s">
        <v>249</v>
      </c>
      <c r="U123" s="91">
        <f>1/10.2</f>
        <v>9.8039215686274522E-2</v>
      </c>
      <c r="V123" s="79" t="s">
        <v>21</v>
      </c>
      <c r="W123" s="81">
        <f>'ANÁLISIS CUADRILLAS'!F42</f>
        <v>1629.175729</v>
      </c>
      <c r="X123" s="82">
        <f t="shared" si="20"/>
        <v>159.72311068627454</v>
      </c>
      <c r="Y123" s="96"/>
      <c r="Z123" s="153" t="s">
        <v>250</v>
      </c>
      <c r="AA123" s="831">
        <f>(1*3.5*3.5*1.12)/3.657</f>
        <v>3.7517090511348101</v>
      </c>
      <c r="AB123" s="833">
        <f>1/1.29</f>
        <v>0.77519379844961234</v>
      </c>
      <c r="AC123" s="833">
        <f>AA123*AB123</f>
        <v>2.9083015900269844</v>
      </c>
      <c r="AD123" s="833">
        <v>1.2</v>
      </c>
      <c r="AE123" s="833">
        <f>AC123*AD123</f>
        <v>3.4899619080323814</v>
      </c>
      <c r="AF123" s="835" t="s">
        <v>854</v>
      </c>
      <c r="AG123" s="520">
        <f>(AE123*1)/12</f>
        <v>0.29083015900269843</v>
      </c>
      <c r="AH123" s="67"/>
      <c r="AI123" s="61"/>
      <c r="AJ123" s="474"/>
      <c r="AK123" s="384" t="s">
        <v>286</v>
      </c>
      <c r="AL123" s="167" t="s">
        <v>249</v>
      </c>
      <c r="AM123" s="91">
        <f>1/10.2</f>
        <v>9.8039215686274522E-2</v>
      </c>
      <c r="AN123" s="79" t="s">
        <v>21</v>
      </c>
      <c r="AO123" s="81">
        <f>'ANÁLISIS CUADRILLAS'!F42</f>
        <v>1629.175729</v>
      </c>
      <c r="AP123" s="82">
        <f t="shared" si="21"/>
        <v>159.72311068627454</v>
      </c>
      <c r="AQ123" s="96"/>
      <c r="AR123" s="153" t="s">
        <v>250</v>
      </c>
      <c r="AS123" s="831">
        <f>(1*3.5*3.5*1.12)/3.657</f>
        <v>3.7517090511348101</v>
      </c>
      <c r="AT123" s="833">
        <f>1/1.29</f>
        <v>0.77519379844961234</v>
      </c>
      <c r="AU123" s="833">
        <f>AS123*AT123</f>
        <v>2.9083015900269844</v>
      </c>
      <c r="AV123" s="833">
        <v>1.2</v>
      </c>
      <c r="AW123" s="833">
        <f>AU123*AV123</f>
        <v>3.4899619080323814</v>
      </c>
      <c r="AX123" s="835" t="s">
        <v>854</v>
      </c>
      <c r="AY123" s="582">
        <f>(AW123*1)/12</f>
        <v>0.29083015900269843</v>
      </c>
      <c r="AZ123" s="67"/>
      <c r="BA123" s="61"/>
      <c r="BC123" s="384" t="s">
        <v>286</v>
      </c>
      <c r="BD123" s="167" t="s">
        <v>249</v>
      </c>
      <c r="BE123" s="91">
        <f>1/10.2</f>
        <v>9.8039215686274522E-2</v>
      </c>
      <c r="BF123" s="79" t="s">
        <v>21</v>
      </c>
      <c r="BG123" s="81">
        <f>'ANÁLISIS CUADRILLAS'!F42</f>
        <v>1629.175729</v>
      </c>
      <c r="BH123" s="82">
        <f t="shared" si="22"/>
        <v>159.72311068627454</v>
      </c>
      <c r="BI123" s="96"/>
      <c r="BJ123" s="153" t="s">
        <v>250</v>
      </c>
      <c r="BK123" s="831">
        <f>(1*3.5*3.5*1.12)/3.657</f>
        <v>3.7517090511348101</v>
      </c>
      <c r="BL123" s="833">
        <f>1/1.29</f>
        <v>0.77519379844961234</v>
      </c>
      <c r="BM123" s="833">
        <f>BK123*BL123</f>
        <v>2.9083015900269844</v>
      </c>
      <c r="BN123" s="833">
        <v>1.2</v>
      </c>
      <c r="BO123" s="833">
        <f>BM123*BN123</f>
        <v>3.4899619080323814</v>
      </c>
      <c r="BP123" s="835" t="s">
        <v>854</v>
      </c>
      <c r="BQ123" s="582">
        <f>(BO123*1)/12</f>
        <v>0.29083015900269843</v>
      </c>
      <c r="BR123" s="67"/>
      <c r="BS123" s="61"/>
      <c r="BU123" s="384" t="s">
        <v>286</v>
      </c>
      <c r="BV123" s="167" t="s">
        <v>249</v>
      </c>
      <c r="BW123" s="91">
        <f>1/10.2</f>
        <v>9.8039215686274522E-2</v>
      </c>
      <c r="BX123" s="79" t="s">
        <v>21</v>
      </c>
      <c r="BY123" s="81">
        <f>'ANÁLISIS CUADRILLAS'!F42</f>
        <v>1629.175729</v>
      </c>
      <c r="BZ123" s="82">
        <f t="shared" si="23"/>
        <v>159.72311068627454</v>
      </c>
      <c r="CA123" s="96"/>
      <c r="CB123" s="153" t="s">
        <v>250</v>
      </c>
      <c r="CC123" s="831">
        <f>(1*3.5*3.5*1.12)/3.657</f>
        <v>3.7517090511348101</v>
      </c>
      <c r="CD123" s="833">
        <f>1/1.29</f>
        <v>0.77519379844961234</v>
      </c>
      <c r="CE123" s="833">
        <f>CC123*CD123</f>
        <v>2.9083015900269844</v>
      </c>
      <c r="CF123" s="833">
        <v>1.2</v>
      </c>
      <c r="CG123" s="833">
        <f>CE123*CF123</f>
        <v>3.4899619080323814</v>
      </c>
      <c r="CH123" s="835" t="s">
        <v>854</v>
      </c>
      <c r="CI123" s="582">
        <f>(CG123*1)/12</f>
        <v>0.29083015900269843</v>
      </c>
      <c r="CJ123" s="67"/>
      <c r="CK123" s="61"/>
    </row>
    <row r="124" spans="1:89" ht="15" customHeight="1">
      <c r="A124" s="816" t="s">
        <v>79</v>
      </c>
      <c r="B124" s="817"/>
      <c r="C124" s="817"/>
      <c r="D124" s="817"/>
      <c r="E124" s="818"/>
      <c r="F124" s="83">
        <f>SUM(F114:F123)</f>
        <v>549.19206208706919</v>
      </c>
      <c r="G124" s="96"/>
      <c r="H124" s="156" t="s">
        <v>894</v>
      </c>
      <c r="I124" s="820"/>
      <c r="J124" s="822"/>
      <c r="K124" s="822"/>
      <c r="L124" s="822"/>
      <c r="M124" s="822"/>
      <c r="N124" s="824"/>
      <c r="O124" s="826"/>
      <c r="P124" s="67"/>
      <c r="Q124" s="61"/>
      <c r="S124" s="816" t="s">
        <v>79</v>
      </c>
      <c r="T124" s="817"/>
      <c r="U124" s="817"/>
      <c r="V124" s="817"/>
      <c r="W124" s="818"/>
      <c r="X124" s="83">
        <f>SUM(X114:X123)</f>
        <v>500.52846058374013</v>
      </c>
      <c r="Y124" s="96"/>
      <c r="Z124" s="156" t="s">
        <v>894</v>
      </c>
      <c r="AA124" s="832"/>
      <c r="AB124" s="834"/>
      <c r="AC124" s="834"/>
      <c r="AD124" s="834"/>
      <c r="AE124" s="834"/>
      <c r="AF124" s="836"/>
      <c r="AG124" s="521"/>
      <c r="AH124" s="67"/>
      <c r="AI124" s="61"/>
      <c r="AJ124" s="474"/>
      <c r="AK124" s="816" t="s">
        <v>79</v>
      </c>
      <c r="AL124" s="817"/>
      <c r="AM124" s="817"/>
      <c r="AN124" s="817"/>
      <c r="AO124" s="818"/>
      <c r="AP124" s="83">
        <f>SUM(AP114:AP123)</f>
        <v>514.43234672754841</v>
      </c>
      <c r="AQ124" s="96"/>
      <c r="AR124" s="156" t="s">
        <v>894</v>
      </c>
      <c r="AS124" s="832"/>
      <c r="AT124" s="834"/>
      <c r="AU124" s="834"/>
      <c r="AV124" s="834"/>
      <c r="AW124" s="834"/>
      <c r="AX124" s="836"/>
      <c r="AY124" s="583"/>
      <c r="AZ124" s="67"/>
      <c r="BA124" s="61"/>
      <c r="BC124" s="816" t="s">
        <v>79</v>
      </c>
      <c r="BD124" s="817"/>
      <c r="BE124" s="817"/>
      <c r="BF124" s="817"/>
      <c r="BG124" s="818"/>
      <c r="BH124" s="83">
        <f>SUM(BH114:BH123)</f>
        <v>514.43234672754841</v>
      </c>
      <c r="BI124" s="96"/>
      <c r="BJ124" s="156" t="s">
        <v>894</v>
      </c>
      <c r="BK124" s="832"/>
      <c r="BL124" s="834"/>
      <c r="BM124" s="834"/>
      <c r="BN124" s="834"/>
      <c r="BO124" s="834"/>
      <c r="BP124" s="836"/>
      <c r="BQ124" s="583"/>
      <c r="BR124" s="67"/>
      <c r="BS124" s="61"/>
      <c r="BU124" s="816" t="s">
        <v>79</v>
      </c>
      <c r="BV124" s="817"/>
      <c r="BW124" s="817"/>
      <c r="BX124" s="817"/>
      <c r="BY124" s="818"/>
      <c r="BZ124" s="83">
        <f>SUM(BZ114:BZ123)</f>
        <v>547.87574030427186</v>
      </c>
      <c r="CA124" s="96"/>
      <c r="CB124" s="156" t="s">
        <v>894</v>
      </c>
      <c r="CC124" s="832"/>
      <c r="CD124" s="834"/>
      <c r="CE124" s="834"/>
      <c r="CF124" s="834"/>
      <c r="CG124" s="834"/>
      <c r="CH124" s="836"/>
      <c r="CI124" s="583"/>
      <c r="CJ124" s="67"/>
      <c r="CK124" s="61"/>
    </row>
    <row r="125" spans="1:89" ht="15" customHeight="1">
      <c r="A125" s="115"/>
      <c r="B125" s="115"/>
      <c r="C125" s="115"/>
      <c r="D125" s="115"/>
      <c r="E125" s="115"/>
      <c r="F125" s="115"/>
      <c r="G125" s="168"/>
      <c r="H125" s="153" t="s">
        <v>251</v>
      </c>
      <c r="I125" s="819">
        <f>(4*1*4*0.6)/3.657</f>
        <v>2.6251025430680883</v>
      </c>
      <c r="J125" s="821">
        <f>1/1.29</f>
        <v>0.77519379844961234</v>
      </c>
      <c r="K125" s="821">
        <f>I125*J125</f>
        <v>2.0349632116806884</v>
      </c>
      <c r="L125" s="821">
        <v>1.2</v>
      </c>
      <c r="M125" s="821">
        <f>K125*L125</f>
        <v>2.4419558540168258</v>
      </c>
      <c r="N125" s="823" t="s">
        <v>853</v>
      </c>
      <c r="O125" s="825">
        <f>(M125*1)/4</f>
        <v>0.61048896350420645</v>
      </c>
      <c r="P125" s="67"/>
      <c r="Q125" s="61"/>
      <c r="S125" s="115"/>
      <c r="T125" s="115"/>
      <c r="U125" s="115"/>
      <c r="V125" s="115"/>
      <c r="W125" s="115"/>
      <c r="X125" s="115"/>
      <c r="Y125" s="168"/>
      <c r="Z125" s="153" t="s">
        <v>251</v>
      </c>
      <c r="AA125" s="819">
        <f>(4*1*4*0.6)/3.657</f>
        <v>2.6251025430680883</v>
      </c>
      <c r="AB125" s="821">
        <f>1/1.29</f>
        <v>0.77519379844961234</v>
      </c>
      <c r="AC125" s="821">
        <f>AA125*AB125</f>
        <v>2.0349632116806884</v>
      </c>
      <c r="AD125" s="821">
        <v>1.2</v>
      </c>
      <c r="AE125" s="821">
        <f>AC125*AD125</f>
        <v>2.4419558540168258</v>
      </c>
      <c r="AF125" s="823" t="s">
        <v>853</v>
      </c>
      <c r="AG125" s="825">
        <f>(AE125*1)/4</f>
        <v>0.61048896350420645</v>
      </c>
      <c r="AH125" s="67"/>
      <c r="AI125" s="61"/>
      <c r="AJ125" s="474"/>
      <c r="AK125" s="115"/>
      <c r="AL125" s="115"/>
      <c r="AM125" s="115"/>
      <c r="AN125" s="115"/>
      <c r="AO125" s="115"/>
      <c r="AP125" s="115"/>
      <c r="AQ125" s="168"/>
      <c r="AR125" s="153" t="s">
        <v>251</v>
      </c>
      <c r="AS125" s="819">
        <f>(4*1*4*0.6)/3.657</f>
        <v>2.6251025430680883</v>
      </c>
      <c r="AT125" s="821">
        <f>1/1.29</f>
        <v>0.77519379844961234</v>
      </c>
      <c r="AU125" s="821">
        <f>AS125*AT125</f>
        <v>2.0349632116806884</v>
      </c>
      <c r="AV125" s="821">
        <v>1.2</v>
      </c>
      <c r="AW125" s="821">
        <f>AU125*AV125</f>
        <v>2.4419558540168258</v>
      </c>
      <c r="AX125" s="823" t="s">
        <v>853</v>
      </c>
      <c r="AY125" s="825">
        <f>(AW125*1)/4</f>
        <v>0.61048896350420645</v>
      </c>
      <c r="AZ125" s="67"/>
      <c r="BA125" s="61"/>
      <c r="BC125" s="115"/>
      <c r="BD125" s="115"/>
      <c r="BE125" s="115"/>
      <c r="BF125" s="115"/>
      <c r="BG125" s="115"/>
      <c r="BH125" s="115"/>
      <c r="BI125" s="168"/>
      <c r="BJ125" s="153" t="s">
        <v>251</v>
      </c>
      <c r="BK125" s="819">
        <f>(4*1*4*0.6)/3.657</f>
        <v>2.6251025430680883</v>
      </c>
      <c r="BL125" s="821">
        <f>1/1.29</f>
        <v>0.77519379844961234</v>
      </c>
      <c r="BM125" s="821">
        <f>BK125*BL125</f>
        <v>2.0349632116806884</v>
      </c>
      <c r="BN125" s="821">
        <v>1.2</v>
      </c>
      <c r="BO125" s="821">
        <f>BM125*BN125</f>
        <v>2.4419558540168258</v>
      </c>
      <c r="BP125" s="823" t="s">
        <v>853</v>
      </c>
      <c r="BQ125" s="825">
        <f>(BO125*1)/4</f>
        <v>0.61048896350420645</v>
      </c>
      <c r="BR125" s="67"/>
      <c r="BS125" s="61"/>
      <c r="BU125" s="115"/>
      <c r="BV125" s="115"/>
      <c r="BW125" s="115"/>
      <c r="BX125" s="115"/>
      <c r="BY125" s="115"/>
      <c r="BZ125" s="115"/>
      <c r="CA125" s="168"/>
      <c r="CB125" s="153" t="s">
        <v>251</v>
      </c>
      <c r="CC125" s="819">
        <f>(4*1*4*0.6)/3.657</f>
        <v>2.6251025430680883</v>
      </c>
      <c r="CD125" s="821">
        <f>1/1.29</f>
        <v>0.77519379844961234</v>
      </c>
      <c r="CE125" s="821">
        <f>CC125*CD125</f>
        <v>2.0349632116806884</v>
      </c>
      <c r="CF125" s="821">
        <v>1.2</v>
      </c>
      <c r="CG125" s="821">
        <f>CE125*CF125</f>
        <v>2.4419558540168258</v>
      </c>
      <c r="CH125" s="823" t="s">
        <v>853</v>
      </c>
      <c r="CI125" s="825">
        <f>(CG125*1)/4</f>
        <v>0.61048896350420645</v>
      </c>
      <c r="CJ125" s="67"/>
      <c r="CK125" s="61"/>
    </row>
    <row r="126" spans="1:89" ht="15" customHeight="1">
      <c r="A126" s="61"/>
      <c r="B126" s="61"/>
      <c r="C126" s="61"/>
      <c r="D126" s="61"/>
      <c r="E126" s="61"/>
      <c r="F126" s="61"/>
      <c r="G126" s="168"/>
      <c r="H126" s="156" t="s">
        <v>896</v>
      </c>
      <c r="I126" s="820"/>
      <c r="J126" s="822"/>
      <c r="K126" s="822"/>
      <c r="L126" s="822"/>
      <c r="M126" s="822"/>
      <c r="N126" s="824"/>
      <c r="O126" s="826"/>
      <c r="P126" s="67"/>
      <c r="Q126" s="61"/>
      <c r="S126" s="61"/>
      <c r="T126" s="61"/>
      <c r="U126" s="61"/>
      <c r="V126" s="61"/>
      <c r="W126" s="61"/>
      <c r="X126" s="61"/>
      <c r="Y126" s="168"/>
      <c r="Z126" s="156" t="s">
        <v>896</v>
      </c>
      <c r="AA126" s="820"/>
      <c r="AB126" s="822"/>
      <c r="AC126" s="822"/>
      <c r="AD126" s="822"/>
      <c r="AE126" s="822"/>
      <c r="AF126" s="824"/>
      <c r="AG126" s="826"/>
      <c r="AH126" s="67"/>
      <c r="AI126" s="61"/>
      <c r="AK126" s="61"/>
      <c r="AL126" s="61"/>
      <c r="AM126" s="61"/>
      <c r="AN126" s="61"/>
      <c r="AO126" s="61"/>
      <c r="AP126" s="61"/>
      <c r="AQ126" s="168"/>
      <c r="AR126" s="156" t="s">
        <v>896</v>
      </c>
      <c r="AS126" s="820"/>
      <c r="AT126" s="822"/>
      <c r="AU126" s="822"/>
      <c r="AV126" s="822"/>
      <c r="AW126" s="822"/>
      <c r="AX126" s="824"/>
      <c r="AY126" s="826"/>
      <c r="AZ126" s="67"/>
      <c r="BA126" s="61"/>
      <c r="BC126" s="61"/>
      <c r="BD126" s="61"/>
      <c r="BE126" s="61"/>
      <c r="BF126" s="61"/>
      <c r="BG126" s="61"/>
      <c r="BH126" s="61"/>
      <c r="BI126" s="168"/>
      <c r="BJ126" s="156" t="s">
        <v>896</v>
      </c>
      <c r="BK126" s="820"/>
      <c r="BL126" s="822"/>
      <c r="BM126" s="822"/>
      <c r="BN126" s="822"/>
      <c r="BO126" s="822"/>
      <c r="BP126" s="824"/>
      <c r="BQ126" s="826"/>
      <c r="BR126" s="67"/>
      <c r="BS126" s="61"/>
      <c r="BU126" s="61"/>
      <c r="BV126" s="61"/>
      <c r="BW126" s="61"/>
      <c r="BX126" s="61"/>
      <c r="BY126" s="61"/>
      <c r="BZ126" s="61"/>
      <c r="CA126" s="168"/>
      <c r="CB126" s="156" t="s">
        <v>896</v>
      </c>
      <c r="CC126" s="820"/>
      <c r="CD126" s="822"/>
      <c r="CE126" s="822"/>
      <c r="CF126" s="822"/>
      <c r="CG126" s="822"/>
      <c r="CH126" s="824"/>
      <c r="CI126" s="826"/>
      <c r="CJ126" s="67"/>
      <c r="CK126" s="61"/>
    </row>
    <row r="127" spans="1:89" ht="15" customHeight="1">
      <c r="H127" s="382" t="s">
        <v>856</v>
      </c>
      <c r="I127" s="827">
        <f>(2*2*4*1.99)/3.657</f>
        <v>8.7065901011758271</v>
      </c>
      <c r="J127" s="828">
        <f>1/1.29</f>
        <v>0.77519379844961234</v>
      </c>
      <c r="K127" s="828">
        <f>J127*I127</f>
        <v>6.7492946520742843</v>
      </c>
      <c r="L127" s="828">
        <v>1.2</v>
      </c>
      <c r="M127" s="828">
        <f>K127*L127</f>
        <v>8.0991535824891407</v>
      </c>
      <c r="N127" s="829" t="s">
        <v>853</v>
      </c>
      <c r="O127" s="880">
        <f>(M127*1)/4</f>
        <v>2.0247883956222852</v>
      </c>
      <c r="S127" s="228"/>
      <c r="T127" s="228"/>
      <c r="U127" s="228"/>
      <c r="V127" s="228"/>
      <c r="W127" s="228"/>
      <c r="X127" s="228"/>
      <c r="Y127" s="228"/>
      <c r="Z127" s="382" t="s">
        <v>856</v>
      </c>
      <c r="AA127" s="827">
        <f>(2*2*4*1.99)/3.657</f>
        <v>8.7065901011758271</v>
      </c>
      <c r="AB127" s="828">
        <f>1/1.29</f>
        <v>0.77519379844961234</v>
      </c>
      <c r="AC127" s="828">
        <f>AB127*AA127</f>
        <v>6.7492946520742843</v>
      </c>
      <c r="AD127" s="828">
        <v>1.2</v>
      </c>
      <c r="AE127" s="828">
        <f>AC127*AD127</f>
        <v>8.0991535824891407</v>
      </c>
      <c r="AF127" s="829" t="s">
        <v>853</v>
      </c>
      <c r="AG127" s="830">
        <f>(AE127*1)/4</f>
        <v>2.0247883956222852</v>
      </c>
      <c r="AH127" s="228"/>
      <c r="AI127" s="228"/>
      <c r="AK127" s="228"/>
      <c r="AL127" s="228"/>
      <c r="AM127" s="228"/>
      <c r="AN127" s="228"/>
      <c r="AO127" s="228"/>
      <c r="AP127" s="228"/>
      <c r="AQ127" s="228"/>
      <c r="AR127" s="382" t="s">
        <v>856</v>
      </c>
      <c r="AS127" s="827">
        <f>(2*2*4*1.99)/3.657</f>
        <v>8.7065901011758271</v>
      </c>
      <c r="AT127" s="828">
        <f>1/1.29</f>
        <v>0.77519379844961234</v>
      </c>
      <c r="AU127" s="828">
        <f>AT127*AS127</f>
        <v>6.7492946520742843</v>
      </c>
      <c r="AV127" s="828">
        <v>1.2</v>
      </c>
      <c r="AW127" s="828">
        <f>AU127*AV127</f>
        <v>8.0991535824891407</v>
      </c>
      <c r="AX127" s="829" t="s">
        <v>853</v>
      </c>
      <c r="AY127" s="830">
        <f>(AW127*1)/4</f>
        <v>2.0247883956222852</v>
      </c>
      <c r="AZ127" s="228"/>
      <c r="BA127" s="228"/>
      <c r="BC127" s="228"/>
      <c r="BD127" s="228"/>
      <c r="BE127" s="228"/>
      <c r="BF127" s="228"/>
      <c r="BG127" s="228"/>
      <c r="BH127" s="228"/>
      <c r="BI127" s="228"/>
      <c r="BJ127" s="382" t="s">
        <v>856</v>
      </c>
      <c r="BK127" s="827">
        <f>(2*2*4*1.99)/3.657</f>
        <v>8.7065901011758271</v>
      </c>
      <c r="BL127" s="828">
        <f>1/1.29</f>
        <v>0.77519379844961234</v>
      </c>
      <c r="BM127" s="828">
        <f>BL127*BK127</f>
        <v>6.7492946520742843</v>
      </c>
      <c r="BN127" s="828">
        <v>1.2</v>
      </c>
      <c r="BO127" s="828">
        <f>BM127*BN127</f>
        <v>8.0991535824891407</v>
      </c>
      <c r="BP127" s="829" t="s">
        <v>853</v>
      </c>
      <c r="BQ127" s="830">
        <f>(BO127*1)/4</f>
        <v>2.0247883956222852</v>
      </c>
      <c r="BR127" s="228"/>
      <c r="BS127" s="228"/>
      <c r="BU127" s="228"/>
      <c r="BV127" s="228"/>
      <c r="BW127" s="228"/>
      <c r="BX127" s="228"/>
      <c r="BY127" s="228"/>
      <c r="BZ127" s="228"/>
      <c r="CA127" s="228"/>
      <c r="CB127" s="382" t="s">
        <v>856</v>
      </c>
      <c r="CC127" s="827">
        <f>(2*2*4*1.99)/3.657</f>
        <v>8.7065901011758271</v>
      </c>
      <c r="CD127" s="828">
        <f>1/1.29</f>
        <v>0.77519379844961234</v>
      </c>
      <c r="CE127" s="828">
        <f>CD127*CC127</f>
        <v>6.7492946520742843</v>
      </c>
      <c r="CF127" s="828">
        <v>1.2</v>
      </c>
      <c r="CG127" s="828">
        <f>CE127*CF127</f>
        <v>8.0991535824891407</v>
      </c>
      <c r="CH127" s="829" t="s">
        <v>853</v>
      </c>
      <c r="CI127" s="830">
        <f>(CG127*1)/4</f>
        <v>2.0247883956222852</v>
      </c>
      <c r="CJ127" s="228"/>
      <c r="CK127" s="228"/>
    </row>
    <row r="128" spans="1:89" ht="15" customHeight="1">
      <c r="H128" s="385" t="s">
        <v>890</v>
      </c>
      <c r="I128" s="809"/>
      <c r="J128" s="811"/>
      <c r="K128" s="811"/>
      <c r="L128" s="811"/>
      <c r="M128" s="811"/>
      <c r="N128" s="813"/>
      <c r="O128" s="881"/>
      <c r="S128" s="228"/>
      <c r="T128" s="228"/>
      <c r="U128" s="228"/>
      <c r="V128" s="228"/>
      <c r="W128" s="228"/>
      <c r="X128" s="228"/>
      <c r="Y128" s="228"/>
      <c r="Z128" s="385" t="s">
        <v>890</v>
      </c>
      <c r="AA128" s="809"/>
      <c r="AB128" s="811"/>
      <c r="AC128" s="811"/>
      <c r="AD128" s="811"/>
      <c r="AE128" s="811"/>
      <c r="AF128" s="813"/>
      <c r="AG128" s="815"/>
      <c r="AH128" s="228"/>
      <c r="AI128" s="228"/>
      <c r="AK128" s="228"/>
      <c r="AL128" s="228"/>
      <c r="AM128" s="228"/>
      <c r="AN128" s="228"/>
      <c r="AO128" s="228"/>
      <c r="AP128" s="228"/>
      <c r="AQ128" s="228"/>
      <c r="AR128" s="385" t="s">
        <v>890</v>
      </c>
      <c r="AS128" s="809"/>
      <c r="AT128" s="811"/>
      <c r="AU128" s="811"/>
      <c r="AV128" s="811"/>
      <c r="AW128" s="811"/>
      <c r="AX128" s="813"/>
      <c r="AY128" s="815"/>
      <c r="AZ128" s="228"/>
      <c r="BA128" s="228"/>
      <c r="BC128" s="228"/>
      <c r="BD128" s="228"/>
      <c r="BE128" s="228"/>
      <c r="BF128" s="228"/>
      <c r="BG128" s="228"/>
      <c r="BH128" s="228"/>
      <c r="BI128" s="228"/>
      <c r="BJ128" s="385" t="s">
        <v>890</v>
      </c>
      <c r="BK128" s="809"/>
      <c r="BL128" s="811"/>
      <c r="BM128" s="811"/>
      <c r="BN128" s="811"/>
      <c r="BO128" s="811"/>
      <c r="BP128" s="813"/>
      <c r="BQ128" s="815"/>
      <c r="BR128" s="228"/>
      <c r="BS128" s="228"/>
      <c r="BU128" s="228"/>
      <c r="BV128" s="228"/>
      <c r="BW128" s="228"/>
      <c r="BX128" s="228"/>
      <c r="BY128" s="228"/>
      <c r="BZ128" s="228"/>
      <c r="CA128" s="228"/>
      <c r="CB128" s="385" t="s">
        <v>890</v>
      </c>
      <c r="CC128" s="809"/>
      <c r="CD128" s="811"/>
      <c r="CE128" s="811"/>
      <c r="CF128" s="811"/>
      <c r="CG128" s="811"/>
      <c r="CH128" s="813"/>
      <c r="CI128" s="815"/>
      <c r="CJ128" s="228"/>
      <c r="CK128" s="228"/>
    </row>
    <row r="129" spans="1:256" ht="15" customHeight="1">
      <c r="H129" s="382" t="s">
        <v>858</v>
      </c>
      <c r="I129" s="808">
        <f>(1*1*4*3.1)/3.657</f>
        <v>3.3907574514629477</v>
      </c>
      <c r="J129" s="810">
        <f>1/1.29</f>
        <v>0.77519379844961234</v>
      </c>
      <c r="K129" s="810">
        <f>J129*I129</f>
        <v>2.6284941484208897</v>
      </c>
      <c r="L129" s="810">
        <v>1.2</v>
      </c>
      <c r="M129" s="810">
        <f>K129*L129</f>
        <v>3.1541929781050677</v>
      </c>
      <c r="N129" s="812" t="s">
        <v>853</v>
      </c>
      <c r="O129" s="882">
        <f>(M129*1)/4</f>
        <v>0.78854824452626693</v>
      </c>
      <c r="S129" s="228"/>
      <c r="T129" s="228"/>
      <c r="U129" s="228"/>
      <c r="V129" s="228"/>
      <c r="W129" s="228"/>
      <c r="X129" s="228"/>
      <c r="Y129" s="228"/>
      <c r="Z129" s="382" t="s">
        <v>858</v>
      </c>
      <c r="AA129" s="808">
        <f>(1*1*4*3.1)/3.657</f>
        <v>3.3907574514629477</v>
      </c>
      <c r="AB129" s="810">
        <f>1/1.29</f>
        <v>0.77519379844961234</v>
      </c>
      <c r="AC129" s="810">
        <f>AB129*AA129</f>
        <v>2.6284941484208897</v>
      </c>
      <c r="AD129" s="810">
        <v>1.2</v>
      </c>
      <c r="AE129" s="810">
        <f>AC129*AD129</f>
        <v>3.1541929781050677</v>
      </c>
      <c r="AF129" s="812" t="s">
        <v>853</v>
      </c>
      <c r="AG129" s="814">
        <f>(AE129*1)/4</f>
        <v>0.78854824452626693</v>
      </c>
      <c r="AH129" s="228"/>
      <c r="AI129" s="228"/>
      <c r="AK129" s="228"/>
      <c r="AL129" s="228"/>
      <c r="AM129" s="228"/>
      <c r="AN129" s="228"/>
      <c r="AO129" s="228"/>
      <c r="AP129" s="228"/>
      <c r="AQ129" s="228"/>
      <c r="AR129" s="382" t="s">
        <v>858</v>
      </c>
      <c r="AS129" s="808">
        <f>(1*1*4*3.1)/3.657</f>
        <v>3.3907574514629477</v>
      </c>
      <c r="AT129" s="810">
        <f>1/1.29</f>
        <v>0.77519379844961234</v>
      </c>
      <c r="AU129" s="810">
        <f>AT129*AS129</f>
        <v>2.6284941484208897</v>
      </c>
      <c r="AV129" s="810">
        <v>1.2</v>
      </c>
      <c r="AW129" s="810">
        <f>AU129*AV129</f>
        <v>3.1541929781050677</v>
      </c>
      <c r="AX129" s="812" t="s">
        <v>853</v>
      </c>
      <c r="AY129" s="814">
        <f>(AW129*1)/4</f>
        <v>0.78854824452626693</v>
      </c>
      <c r="AZ129" s="228"/>
      <c r="BA129" s="228"/>
      <c r="BC129" s="228"/>
      <c r="BD129" s="228"/>
      <c r="BE129" s="228"/>
      <c r="BF129" s="228"/>
      <c r="BG129" s="228"/>
      <c r="BH129" s="228"/>
      <c r="BI129" s="228"/>
      <c r="BJ129" s="382" t="s">
        <v>858</v>
      </c>
      <c r="BK129" s="808">
        <f>(1*1*4*3.1)/3.657</f>
        <v>3.3907574514629477</v>
      </c>
      <c r="BL129" s="810">
        <f>1/1.29</f>
        <v>0.77519379844961234</v>
      </c>
      <c r="BM129" s="810">
        <f>BL129*BK129</f>
        <v>2.6284941484208897</v>
      </c>
      <c r="BN129" s="810">
        <v>1.2</v>
      </c>
      <c r="BO129" s="810">
        <f>BM129*BN129</f>
        <v>3.1541929781050677</v>
      </c>
      <c r="BP129" s="812" t="s">
        <v>853</v>
      </c>
      <c r="BQ129" s="814">
        <f>(BO129*1)/4</f>
        <v>0.78854824452626693</v>
      </c>
      <c r="BR129" s="228"/>
      <c r="BS129" s="228"/>
      <c r="BU129" s="228"/>
      <c r="BV129" s="228"/>
      <c r="BW129" s="228"/>
      <c r="BX129" s="228"/>
      <c r="BY129" s="228"/>
      <c r="BZ129" s="228"/>
      <c r="CA129" s="228"/>
      <c r="CB129" s="382" t="s">
        <v>858</v>
      </c>
      <c r="CC129" s="808">
        <f>(1*1*4*3.1)/3.657</f>
        <v>3.3907574514629477</v>
      </c>
      <c r="CD129" s="810">
        <f>1/1.29</f>
        <v>0.77519379844961234</v>
      </c>
      <c r="CE129" s="810">
        <f>CD129*CC129</f>
        <v>2.6284941484208897</v>
      </c>
      <c r="CF129" s="810">
        <v>1.2</v>
      </c>
      <c r="CG129" s="810">
        <f>CE129*CF129</f>
        <v>3.1541929781050677</v>
      </c>
      <c r="CH129" s="812" t="s">
        <v>853</v>
      </c>
      <c r="CI129" s="814">
        <f>(CG129*1)/4</f>
        <v>0.78854824452626693</v>
      </c>
      <c r="CJ129" s="228"/>
      <c r="CK129" s="228"/>
    </row>
    <row r="130" spans="1:256" ht="15" customHeight="1">
      <c r="H130" s="386" t="s">
        <v>892</v>
      </c>
      <c r="I130" s="809"/>
      <c r="J130" s="811"/>
      <c r="K130" s="811"/>
      <c r="L130" s="811"/>
      <c r="M130" s="811"/>
      <c r="N130" s="813"/>
      <c r="O130" s="881"/>
      <c r="S130" s="228"/>
      <c r="T130" s="228"/>
      <c r="U130" s="228"/>
      <c r="V130" s="228"/>
      <c r="W130" s="228"/>
      <c r="X130" s="228"/>
      <c r="Y130" s="228"/>
      <c r="Z130" s="386" t="s">
        <v>892</v>
      </c>
      <c r="AA130" s="809"/>
      <c r="AB130" s="811"/>
      <c r="AC130" s="811"/>
      <c r="AD130" s="811"/>
      <c r="AE130" s="811"/>
      <c r="AF130" s="813"/>
      <c r="AG130" s="815"/>
      <c r="AH130" s="228"/>
      <c r="AI130" s="228"/>
      <c r="AK130" s="228"/>
      <c r="AL130" s="228"/>
      <c r="AM130" s="228"/>
      <c r="AN130" s="228"/>
      <c r="AO130" s="228"/>
      <c r="AP130" s="228"/>
      <c r="AQ130" s="228"/>
      <c r="AR130" s="386" t="s">
        <v>892</v>
      </c>
      <c r="AS130" s="809"/>
      <c r="AT130" s="811"/>
      <c r="AU130" s="811"/>
      <c r="AV130" s="811"/>
      <c r="AW130" s="811"/>
      <c r="AX130" s="813"/>
      <c r="AY130" s="815"/>
      <c r="AZ130" s="228"/>
      <c r="BA130" s="228"/>
      <c r="BC130" s="228"/>
      <c r="BD130" s="228"/>
      <c r="BE130" s="228"/>
      <c r="BF130" s="228"/>
      <c r="BG130" s="228"/>
      <c r="BH130" s="228"/>
      <c r="BI130" s="228"/>
      <c r="BJ130" s="386" t="s">
        <v>892</v>
      </c>
      <c r="BK130" s="809"/>
      <c r="BL130" s="811"/>
      <c r="BM130" s="811"/>
      <c r="BN130" s="811"/>
      <c r="BO130" s="811"/>
      <c r="BP130" s="813"/>
      <c r="BQ130" s="815"/>
      <c r="BR130" s="228"/>
      <c r="BS130" s="228"/>
      <c r="BU130" s="228"/>
      <c r="BV130" s="228"/>
      <c r="BW130" s="228"/>
      <c r="BX130" s="228"/>
      <c r="BY130" s="228"/>
      <c r="BZ130" s="228"/>
      <c r="CA130" s="228"/>
      <c r="CB130" s="386" t="s">
        <v>892</v>
      </c>
      <c r="CC130" s="809"/>
      <c r="CD130" s="811"/>
      <c r="CE130" s="811"/>
      <c r="CF130" s="811"/>
      <c r="CG130" s="811"/>
      <c r="CH130" s="813"/>
      <c r="CI130" s="815"/>
      <c r="CJ130" s="228"/>
      <c r="CK130" s="228"/>
    </row>
    <row r="131" spans="1:256" ht="15" customHeight="1">
      <c r="H131" s="383" t="s">
        <v>857</v>
      </c>
      <c r="I131" s="808">
        <f>(2*3.5*3.5*1)/3.657</f>
        <v>6.6994804484550174</v>
      </c>
      <c r="J131" s="810">
        <f>1/1.29</f>
        <v>0.77519379844961234</v>
      </c>
      <c r="K131" s="810">
        <f>J131*I131</f>
        <v>5.1933956964767569</v>
      </c>
      <c r="L131" s="810">
        <v>1.2</v>
      </c>
      <c r="M131" s="810">
        <f>K131*L131</f>
        <v>6.2320748357721083</v>
      </c>
      <c r="N131" s="812" t="s">
        <v>854</v>
      </c>
      <c r="O131" s="882">
        <f>(M131*1)/12</f>
        <v>0.51933956964767569</v>
      </c>
      <c r="S131" s="228"/>
      <c r="T131" s="228"/>
      <c r="U131" s="228"/>
      <c r="V131" s="228"/>
      <c r="W131" s="228"/>
      <c r="X131" s="228"/>
      <c r="Y131" s="228"/>
      <c r="Z131" s="383" t="s">
        <v>857</v>
      </c>
      <c r="AA131" s="808">
        <f>(2*3.5*3.5*1)/3.657</f>
        <v>6.6994804484550174</v>
      </c>
      <c r="AB131" s="810">
        <f>1/1.29</f>
        <v>0.77519379844961234</v>
      </c>
      <c r="AC131" s="810">
        <f>AB131*AA131</f>
        <v>5.1933956964767569</v>
      </c>
      <c r="AD131" s="810">
        <v>1.2</v>
      </c>
      <c r="AE131" s="810">
        <f>AC131*AD131</f>
        <v>6.2320748357721083</v>
      </c>
      <c r="AF131" s="812" t="s">
        <v>854</v>
      </c>
      <c r="AG131" s="814">
        <f>(AE131*1)/12</f>
        <v>0.51933956964767569</v>
      </c>
      <c r="AH131" s="228"/>
      <c r="AI131" s="228"/>
      <c r="AK131" s="228"/>
      <c r="AL131" s="228"/>
      <c r="AM131" s="228"/>
      <c r="AN131" s="228"/>
      <c r="AO131" s="228"/>
      <c r="AP131" s="228"/>
      <c r="AQ131" s="228"/>
      <c r="AR131" s="383" t="s">
        <v>857</v>
      </c>
      <c r="AS131" s="808">
        <f>(2*3.5*3.5*1)/3.657</f>
        <v>6.6994804484550174</v>
      </c>
      <c r="AT131" s="810">
        <f>1/1.29</f>
        <v>0.77519379844961234</v>
      </c>
      <c r="AU131" s="810">
        <f>AT131*AS131</f>
        <v>5.1933956964767569</v>
      </c>
      <c r="AV131" s="810">
        <v>1.2</v>
      </c>
      <c r="AW131" s="810">
        <f>AU131*AV131</f>
        <v>6.2320748357721083</v>
      </c>
      <c r="AX131" s="812" t="s">
        <v>854</v>
      </c>
      <c r="AY131" s="814">
        <f>(AW131*1)/12</f>
        <v>0.51933956964767569</v>
      </c>
      <c r="AZ131" s="228"/>
      <c r="BA131" s="228"/>
      <c r="BC131" s="228"/>
      <c r="BD131" s="228"/>
      <c r="BE131" s="228"/>
      <c r="BF131" s="228"/>
      <c r="BG131" s="228"/>
      <c r="BH131" s="228"/>
      <c r="BI131" s="228"/>
      <c r="BJ131" s="383" t="s">
        <v>857</v>
      </c>
      <c r="BK131" s="808">
        <f>(2*3.5*3.5*1)/3.657</f>
        <v>6.6994804484550174</v>
      </c>
      <c r="BL131" s="810">
        <f>1/1.29</f>
        <v>0.77519379844961234</v>
      </c>
      <c r="BM131" s="810">
        <f>BL131*BK131</f>
        <v>5.1933956964767569</v>
      </c>
      <c r="BN131" s="810">
        <v>1.2</v>
      </c>
      <c r="BO131" s="810">
        <f>BM131*BN131</f>
        <v>6.2320748357721083</v>
      </c>
      <c r="BP131" s="812" t="s">
        <v>854</v>
      </c>
      <c r="BQ131" s="814">
        <f>(BO131*1)/12</f>
        <v>0.51933956964767569</v>
      </c>
      <c r="BR131" s="228"/>
      <c r="BS131" s="228"/>
      <c r="BU131" s="228"/>
      <c r="BV131" s="228"/>
      <c r="BW131" s="228"/>
      <c r="BX131" s="228"/>
      <c r="BY131" s="228"/>
      <c r="BZ131" s="228"/>
      <c r="CA131" s="228"/>
      <c r="CB131" s="383" t="s">
        <v>857</v>
      </c>
      <c r="CC131" s="808">
        <f>(2*3.5*3.5*1)/3.657</f>
        <v>6.6994804484550174</v>
      </c>
      <c r="CD131" s="810">
        <f>1/1.29</f>
        <v>0.77519379844961234</v>
      </c>
      <c r="CE131" s="810">
        <f>CD131*CC131</f>
        <v>5.1933956964767569</v>
      </c>
      <c r="CF131" s="810">
        <v>1.2</v>
      </c>
      <c r="CG131" s="810">
        <f>CE131*CF131</f>
        <v>6.2320748357721083</v>
      </c>
      <c r="CH131" s="812" t="s">
        <v>854</v>
      </c>
      <c r="CI131" s="814">
        <f>(CG131*1)/12</f>
        <v>0.51933956964767569</v>
      </c>
      <c r="CJ131" s="228"/>
      <c r="CK131" s="228"/>
    </row>
    <row r="132" spans="1:256" ht="15" customHeight="1">
      <c r="H132" s="385" t="s">
        <v>891</v>
      </c>
      <c r="I132" s="809"/>
      <c r="J132" s="811"/>
      <c r="K132" s="811"/>
      <c r="L132" s="811"/>
      <c r="M132" s="811"/>
      <c r="N132" s="813"/>
      <c r="O132" s="881"/>
      <c r="S132" s="228"/>
      <c r="T132" s="228"/>
      <c r="U132" s="228"/>
      <c r="V132" s="228"/>
      <c r="W132" s="228"/>
      <c r="X132" s="228"/>
      <c r="Y132" s="228"/>
      <c r="Z132" s="385" t="s">
        <v>891</v>
      </c>
      <c r="AA132" s="809"/>
      <c r="AB132" s="811"/>
      <c r="AC132" s="811"/>
      <c r="AD132" s="811"/>
      <c r="AE132" s="811"/>
      <c r="AF132" s="813"/>
      <c r="AG132" s="815"/>
      <c r="AH132" s="228"/>
      <c r="AI132" s="228"/>
      <c r="AK132" s="228"/>
      <c r="AL132" s="228"/>
      <c r="AM132" s="228"/>
      <c r="AN132" s="228"/>
      <c r="AO132" s="228"/>
      <c r="AP132" s="228"/>
      <c r="AQ132" s="228"/>
      <c r="AR132" s="385" t="s">
        <v>891</v>
      </c>
      <c r="AS132" s="809"/>
      <c r="AT132" s="811"/>
      <c r="AU132" s="811"/>
      <c r="AV132" s="811"/>
      <c r="AW132" s="811"/>
      <c r="AX132" s="813"/>
      <c r="AY132" s="815"/>
      <c r="AZ132" s="228"/>
      <c r="BA132" s="228"/>
      <c r="BC132" s="228"/>
      <c r="BD132" s="228"/>
      <c r="BE132" s="228"/>
      <c r="BF132" s="228"/>
      <c r="BG132" s="228"/>
      <c r="BH132" s="228"/>
      <c r="BI132" s="228"/>
      <c r="BJ132" s="385" t="s">
        <v>891</v>
      </c>
      <c r="BK132" s="809"/>
      <c r="BL132" s="811"/>
      <c r="BM132" s="811"/>
      <c r="BN132" s="811"/>
      <c r="BO132" s="811"/>
      <c r="BP132" s="813"/>
      <c r="BQ132" s="815"/>
      <c r="BR132" s="228"/>
      <c r="BS132" s="228"/>
      <c r="BU132" s="228"/>
      <c r="BV132" s="228"/>
      <c r="BW132" s="228"/>
      <c r="BX132" s="228"/>
      <c r="BY132" s="228"/>
      <c r="BZ132" s="228"/>
      <c r="CA132" s="228"/>
      <c r="CB132" s="385" t="s">
        <v>891</v>
      </c>
      <c r="CC132" s="809"/>
      <c r="CD132" s="811"/>
      <c r="CE132" s="811"/>
      <c r="CF132" s="811"/>
      <c r="CG132" s="811"/>
      <c r="CH132" s="813"/>
      <c r="CI132" s="815"/>
      <c r="CJ132" s="228"/>
      <c r="CK132" s="228"/>
    </row>
    <row r="134" spans="1:256" ht="52.5" customHeight="1">
      <c r="A134" s="501" t="s">
        <v>1093</v>
      </c>
      <c r="B134" s="803" t="s">
        <v>1095</v>
      </c>
      <c r="C134" s="804"/>
      <c r="D134" s="804"/>
      <c r="E134" s="805"/>
      <c r="F134" s="502" t="s">
        <v>1094</v>
      </c>
      <c r="H134" s="501" t="s">
        <v>1361</v>
      </c>
      <c r="I134" s="803" t="s">
        <v>1095</v>
      </c>
      <c r="J134" s="804"/>
      <c r="K134" s="804"/>
      <c r="L134" s="805"/>
      <c r="M134" s="502" t="s">
        <v>1094</v>
      </c>
      <c r="IQ134"/>
      <c r="IR134"/>
      <c r="IS134"/>
      <c r="IT134"/>
      <c r="IU134"/>
      <c r="IV134"/>
    </row>
    <row r="135" spans="1:256" ht="15" customHeight="1">
      <c r="A135" s="122" t="s">
        <v>1</v>
      </c>
      <c r="B135" s="123" t="s">
        <v>2</v>
      </c>
      <c r="C135" s="123" t="s">
        <v>72</v>
      </c>
      <c r="D135" s="123" t="s">
        <v>3</v>
      </c>
      <c r="E135" s="123" t="s">
        <v>10</v>
      </c>
      <c r="F135" s="124" t="s">
        <v>11</v>
      </c>
      <c r="H135" s="122" t="s">
        <v>1</v>
      </c>
      <c r="I135" s="123" t="s">
        <v>2</v>
      </c>
      <c r="J135" s="123" t="s">
        <v>72</v>
      </c>
      <c r="K135" s="123" t="s">
        <v>3</v>
      </c>
      <c r="L135" s="123" t="s">
        <v>10</v>
      </c>
      <c r="M135" s="124" t="s">
        <v>11</v>
      </c>
      <c r="IQ135"/>
      <c r="IR135"/>
      <c r="IS135"/>
      <c r="IT135"/>
      <c r="IU135"/>
      <c r="IV135"/>
    </row>
    <row r="136" spans="1:256" ht="28.8">
      <c r="A136" s="504" t="s">
        <v>1097</v>
      </c>
      <c r="B136" s="503" t="s">
        <v>1096</v>
      </c>
      <c r="C136" s="100">
        <v>2</v>
      </c>
      <c r="D136" s="506" t="s">
        <v>1094</v>
      </c>
      <c r="E136" s="73">
        <v>14</v>
      </c>
      <c r="F136" s="74">
        <f>C136*E136</f>
        <v>28</v>
      </c>
      <c r="H136" s="504" t="s">
        <v>1097</v>
      </c>
      <c r="I136" s="503" t="s">
        <v>1096</v>
      </c>
      <c r="J136" s="100">
        <v>1</v>
      </c>
      <c r="K136" s="506" t="s">
        <v>1094</v>
      </c>
      <c r="L136" s="73">
        <v>14</v>
      </c>
      <c r="M136" s="74">
        <f>J136*L136</f>
        <v>14</v>
      </c>
      <c r="IQ136"/>
      <c r="IR136"/>
      <c r="IS136"/>
      <c r="IT136"/>
      <c r="IU136"/>
      <c r="IV136"/>
    </row>
    <row r="137" spans="1:256" ht="28.8">
      <c r="A137" s="509" t="s">
        <v>1016</v>
      </c>
      <c r="B137" s="505" t="s">
        <v>1098</v>
      </c>
      <c r="C137" s="102">
        <f>1/30</f>
        <v>3.3333333333333333E-2</v>
      </c>
      <c r="D137" s="507" t="s">
        <v>21</v>
      </c>
      <c r="E137" s="77">
        <f>'ANÁLISIS CUADRILLAS'!F70</f>
        <v>937.27584599999989</v>
      </c>
      <c r="F137" s="78">
        <f>C137*E137</f>
        <v>31.242528199999995</v>
      </c>
      <c r="H137" s="509" t="s">
        <v>1016</v>
      </c>
      <c r="I137" s="505" t="s">
        <v>1098</v>
      </c>
      <c r="J137" s="102">
        <f>1/30</f>
        <v>3.3333333333333333E-2</v>
      </c>
      <c r="K137" s="507" t="s">
        <v>21</v>
      </c>
      <c r="L137" s="77">
        <f>'ANÁLISIS CUADRILLAS'!F63</f>
        <v>468.63792299999994</v>
      </c>
      <c r="M137" s="78">
        <f>J137*L137</f>
        <v>15.621264099999998</v>
      </c>
      <c r="IQ137"/>
      <c r="IR137"/>
      <c r="IS137"/>
      <c r="IT137"/>
      <c r="IU137"/>
      <c r="IV137"/>
    </row>
    <row r="138" spans="1:256" ht="15" customHeight="1">
      <c r="A138" s="101" t="s">
        <v>24</v>
      </c>
      <c r="B138" s="75" t="s">
        <v>205</v>
      </c>
      <c r="C138" s="102">
        <v>0.03</v>
      </c>
      <c r="D138" s="507" t="s">
        <v>25</v>
      </c>
      <c r="E138" s="77">
        <f>F137</f>
        <v>31.242528199999995</v>
      </c>
      <c r="F138" s="78">
        <f>C138*E138</f>
        <v>0.9372758459999998</v>
      </c>
      <c r="H138" s="101" t="s">
        <v>24</v>
      </c>
      <c r="I138" s="75" t="s">
        <v>205</v>
      </c>
      <c r="J138" s="102">
        <v>0.03</v>
      </c>
      <c r="K138" s="507" t="s">
        <v>25</v>
      </c>
      <c r="L138" s="77">
        <f>M137</f>
        <v>15.621264099999998</v>
      </c>
      <c r="M138" s="78">
        <f>J138*L138</f>
        <v>0.4686379229999999</v>
      </c>
      <c r="IQ138"/>
      <c r="IR138"/>
      <c r="IS138"/>
      <c r="IT138"/>
      <c r="IU138"/>
      <c r="IV138"/>
    </row>
    <row r="139" spans="1:256" ht="15" customHeight="1">
      <c r="A139" s="90" t="s">
        <v>196</v>
      </c>
      <c r="B139" s="79" t="s">
        <v>1099</v>
      </c>
      <c r="C139" s="91">
        <v>0.02</v>
      </c>
      <c r="D139" s="508" t="s">
        <v>25</v>
      </c>
      <c r="E139" s="81">
        <f>F137</f>
        <v>31.242528199999995</v>
      </c>
      <c r="F139" s="78">
        <f>C139*E139</f>
        <v>0.62485056399999994</v>
      </c>
      <c r="H139" s="90" t="s">
        <v>196</v>
      </c>
      <c r="I139" s="79" t="s">
        <v>1099</v>
      </c>
      <c r="J139" s="91">
        <v>0.02</v>
      </c>
      <c r="K139" s="508" t="s">
        <v>25</v>
      </c>
      <c r="L139" s="81">
        <f>M137</f>
        <v>15.621264099999998</v>
      </c>
      <c r="M139" s="78">
        <f>J139*L139</f>
        <v>0.31242528199999997</v>
      </c>
      <c r="IQ139"/>
      <c r="IR139"/>
      <c r="IS139"/>
      <c r="IT139"/>
      <c r="IU139"/>
      <c r="IV139"/>
    </row>
    <row r="140" spans="1:256" ht="15" customHeight="1">
      <c r="A140" s="806" t="s">
        <v>79</v>
      </c>
      <c r="B140" s="807"/>
      <c r="C140" s="807"/>
      <c r="D140" s="807"/>
      <c r="E140" s="807"/>
      <c r="F140" s="121">
        <f>SUM(F136:F139)</f>
        <v>60.804654609999993</v>
      </c>
      <c r="H140" s="806" t="s">
        <v>79</v>
      </c>
      <c r="I140" s="807"/>
      <c r="J140" s="807"/>
      <c r="K140" s="807"/>
      <c r="L140" s="807"/>
      <c r="M140" s="121">
        <f>SUM(M136:M139)</f>
        <v>30.402327304999996</v>
      </c>
      <c r="IQ140"/>
      <c r="IR140"/>
      <c r="IS140"/>
      <c r="IT140"/>
      <c r="IU140"/>
      <c r="IV140"/>
    </row>
  </sheetData>
  <mergeCells count="517">
    <mergeCell ref="AG117:AG118"/>
    <mergeCell ref="AG119:AG120"/>
    <mergeCell ref="AG121:AG122"/>
    <mergeCell ref="AD121:AD122"/>
    <mergeCell ref="AC121:AC122"/>
    <mergeCell ref="AB121:AB122"/>
    <mergeCell ref="AA121:AA122"/>
    <mergeCell ref="AD119:AD120"/>
    <mergeCell ref="AC119:AC120"/>
    <mergeCell ref="AB119:AB120"/>
    <mergeCell ref="AA119:AA120"/>
    <mergeCell ref="AD117:AD118"/>
    <mergeCell ref="AC117:AC118"/>
    <mergeCell ref="AB117:AB118"/>
    <mergeCell ref="AA117:AA118"/>
    <mergeCell ref="AE121:AE122"/>
    <mergeCell ref="AF121:AF122"/>
    <mergeCell ref="AE117:AE118"/>
    <mergeCell ref="AF117:AF118"/>
    <mergeCell ref="AE119:AE120"/>
    <mergeCell ref="AF119:AF120"/>
    <mergeCell ref="AA129:AA130"/>
    <mergeCell ref="AB129:AB130"/>
    <mergeCell ref="AC129:AC130"/>
    <mergeCell ref="AD129:AD130"/>
    <mergeCell ref="AE129:AE130"/>
    <mergeCell ref="AF129:AF130"/>
    <mergeCell ref="AG129:AG130"/>
    <mergeCell ref="AA131:AA132"/>
    <mergeCell ref="AB131:AB132"/>
    <mergeCell ref="AC131:AC132"/>
    <mergeCell ref="AD131:AD132"/>
    <mergeCell ref="AE131:AE132"/>
    <mergeCell ref="AF131:AF132"/>
    <mergeCell ref="AG131:AG132"/>
    <mergeCell ref="S124:W124"/>
    <mergeCell ref="AA125:AA126"/>
    <mergeCell ref="AB125:AB126"/>
    <mergeCell ref="AC125:AC126"/>
    <mergeCell ref="AD125:AD126"/>
    <mergeCell ref="AE125:AE126"/>
    <mergeCell ref="AF125:AF126"/>
    <mergeCell ref="AG125:AG126"/>
    <mergeCell ref="AA127:AA128"/>
    <mergeCell ref="AB127:AB128"/>
    <mergeCell ref="AC127:AC128"/>
    <mergeCell ref="AD127:AD128"/>
    <mergeCell ref="AE127:AE128"/>
    <mergeCell ref="AF127:AF128"/>
    <mergeCell ref="AG127:AG128"/>
    <mergeCell ref="AD123:AD124"/>
    <mergeCell ref="AC123:AC124"/>
    <mergeCell ref="AB123:AB124"/>
    <mergeCell ref="AA123:AA124"/>
    <mergeCell ref="AE123:AE124"/>
    <mergeCell ref="AF123:AF124"/>
    <mergeCell ref="T112:W112"/>
    <mergeCell ref="AA113:AA114"/>
    <mergeCell ref="AB113:AB114"/>
    <mergeCell ref="AC113:AC114"/>
    <mergeCell ref="AD113:AD114"/>
    <mergeCell ref="AE113:AE114"/>
    <mergeCell ref="AF113:AF114"/>
    <mergeCell ref="AG113:AG114"/>
    <mergeCell ref="AA115:AA116"/>
    <mergeCell ref="AB115:AB116"/>
    <mergeCell ref="AC115:AC116"/>
    <mergeCell ref="AD115:AD116"/>
    <mergeCell ref="AE115:AE116"/>
    <mergeCell ref="AF115:AF116"/>
    <mergeCell ref="AG115:AG116"/>
    <mergeCell ref="N131:N132"/>
    <mergeCell ref="O127:O128"/>
    <mergeCell ref="O129:O130"/>
    <mergeCell ref="O131:O132"/>
    <mergeCell ref="I131:I132"/>
    <mergeCell ref="J127:J128"/>
    <mergeCell ref="J129:J130"/>
    <mergeCell ref="J131:J132"/>
    <mergeCell ref="K127:K128"/>
    <mergeCell ref="L127:L128"/>
    <mergeCell ref="M127:M128"/>
    <mergeCell ref="K129:K130"/>
    <mergeCell ref="L129:L130"/>
    <mergeCell ref="M129:M130"/>
    <mergeCell ref="L131:L132"/>
    <mergeCell ref="K131:K132"/>
    <mergeCell ref="M131:M132"/>
    <mergeCell ref="J125:J126"/>
    <mergeCell ref="K125:K126"/>
    <mergeCell ref="L125:L126"/>
    <mergeCell ref="M125:M126"/>
    <mergeCell ref="N125:N126"/>
    <mergeCell ref="O125:O126"/>
    <mergeCell ref="I129:I130"/>
    <mergeCell ref="I127:I128"/>
    <mergeCell ref="N127:N128"/>
    <mergeCell ref="N129:N130"/>
    <mergeCell ref="O119:O120"/>
    <mergeCell ref="I121:I122"/>
    <mergeCell ref="J121:J122"/>
    <mergeCell ref="K121:K122"/>
    <mergeCell ref="L121:L122"/>
    <mergeCell ref="M121:M122"/>
    <mergeCell ref="N121:N122"/>
    <mergeCell ref="O121:O122"/>
    <mergeCell ref="I123:I124"/>
    <mergeCell ref="J123:J124"/>
    <mergeCell ref="K123:K124"/>
    <mergeCell ref="L123:L124"/>
    <mergeCell ref="M123:M124"/>
    <mergeCell ref="N123:N124"/>
    <mergeCell ref="O123:O124"/>
    <mergeCell ref="O113:O114"/>
    <mergeCell ref="I115:I116"/>
    <mergeCell ref="J115:J116"/>
    <mergeCell ref="K115:K116"/>
    <mergeCell ref="L115:L116"/>
    <mergeCell ref="M115:M116"/>
    <mergeCell ref="N115:N116"/>
    <mergeCell ref="O115:O116"/>
    <mergeCell ref="I117:I118"/>
    <mergeCell ref="J117:J118"/>
    <mergeCell ref="K117:K118"/>
    <mergeCell ref="L117:L118"/>
    <mergeCell ref="M117:M118"/>
    <mergeCell ref="N117:N118"/>
    <mergeCell ref="O117:O118"/>
    <mergeCell ref="CG85:CK85"/>
    <mergeCell ref="CH76:CK76"/>
    <mergeCell ref="O109:O110"/>
    <mergeCell ref="AD76:AG76"/>
    <mergeCell ref="BZ85:CD85"/>
    <mergeCell ref="CA76:CD76"/>
    <mergeCell ref="BS85:BW85"/>
    <mergeCell ref="BL85:BP85"/>
    <mergeCell ref="BE85:BI85"/>
    <mergeCell ref="BF76:BI76"/>
    <mergeCell ref="AX85:BB85"/>
    <mergeCell ref="AY76:BB76"/>
    <mergeCell ref="BT76:BW76"/>
    <mergeCell ref="O107:O108"/>
    <mergeCell ref="V85:Z85"/>
    <mergeCell ref="W76:Z76"/>
    <mergeCell ref="AQ85:AU85"/>
    <mergeCell ref="AR76:AU76"/>
    <mergeCell ref="AJ85:AN85"/>
    <mergeCell ref="AK76:AN76"/>
    <mergeCell ref="AC85:AG85"/>
    <mergeCell ref="DB85:DF85"/>
    <mergeCell ref="CU85:CY85"/>
    <mergeCell ref="CN85:CR85"/>
    <mergeCell ref="O74:S74"/>
    <mergeCell ref="P68:S68"/>
    <mergeCell ref="I61:L61"/>
    <mergeCell ref="A66:E66"/>
    <mergeCell ref="B61:E61"/>
    <mergeCell ref="A31:E31"/>
    <mergeCell ref="DC76:DF76"/>
    <mergeCell ref="CV76:CY76"/>
    <mergeCell ref="W54:Z54"/>
    <mergeCell ref="AQ66:AU66"/>
    <mergeCell ref="W46:Z46"/>
    <mergeCell ref="AC74:AG74"/>
    <mergeCell ref="AD68:AG68"/>
    <mergeCell ref="W68:Z68"/>
    <mergeCell ref="AJ66:AN66"/>
    <mergeCell ref="AC66:AG66"/>
    <mergeCell ref="V66:Z66"/>
    <mergeCell ref="AR54:AU54"/>
    <mergeCell ref="BM76:BP76"/>
    <mergeCell ref="O44:S44"/>
    <mergeCell ref="A44:E44"/>
    <mergeCell ref="B27:E27"/>
    <mergeCell ref="A19:E19"/>
    <mergeCell ref="B15:E15"/>
    <mergeCell ref="A13:E13"/>
    <mergeCell ref="B9:E9"/>
    <mergeCell ref="A7:E7"/>
    <mergeCell ref="B2:E2"/>
    <mergeCell ref="A85:E85"/>
    <mergeCell ref="P39:S39"/>
    <mergeCell ref="B68:E68"/>
    <mergeCell ref="H44:L44"/>
    <mergeCell ref="I39:L39"/>
    <mergeCell ref="B39:E39"/>
    <mergeCell ref="P46:S46"/>
    <mergeCell ref="I46:L46"/>
    <mergeCell ref="O59:S59"/>
    <mergeCell ref="P54:S54"/>
    <mergeCell ref="I54:L54"/>
    <mergeCell ref="A37:E37"/>
    <mergeCell ref="B33:E33"/>
    <mergeCell ref="H59:L59"/>
    <mergeCell ref="A59:E59"/>
    <mergeCell ref="A25:E25"/>
    <mergeCell ref="B21:E21"/>
    <mergeCell ref="O52:S52"/>
    <mergeCell ref="A108:E108"/>
    <mergeCell ref="AK61:AN61"/>
    <mergeCell ref="B76:E76"/>
    <mergeCell ref="H52:L52"/>
    <mergeCell ref="AD61:AG61"/>
    <mergeCell ref="O66:S66"/>
    <mergeCell ref="P61:S61"/>
    <mergeCell ref="I97:I98"/>
    <mergeCell ref="H74:L74"/>
    <mergeCell ref="AJ59:AN59"/>
    <mergeCell ref="A74:E74"/>
    <mergeCell ref="AC59:AG59"/>
    <mergeCell ref="AD54:AG54"/>
    <mergeCell ref="B54:E54"/>
    <mergeCell ref="V52:Z52"/>
    <mergeCell ref="O97:O98"/>
    <mergeCell ref="M101:M102"/>
    <mergeCell ref="L105:L106"/>
    <mergeCell ref="N97:N98"/>
    <mergeCell ref="I99:I100"/>
    <mergeCell ref="H85:L85"/>
    <mergeCell ref="K97:K98"/>
    <mergeCell ref="B87:E87"/>
    <mergeCell ref="AX59:BB59"/>
    <mergeCell ref="O99:O100"/>
    <mergeCell ref="M107:M108"/>
    <mergeCell ref="N103:N104"/>
    <mergeCell ref="AK54:AN54"/>
    <mergeCell ref="N99:N100"/>
    <mergeCell ref="L107:L108"/>
    <mergeCell ref="M103:M104"/>
    <mergeCell ref="P76:S76"/>
    <mergeCell ref="AR61:AU61"/>
    <mergeCell ref="I76:L76"/>
    <mergeCell ref="V59:Z59"/>
    <mergeCell ref="K103:K104"/>
    <mergeCell ref="L99:L100"/>
    <mergeCell ref="I87:L87"/>
    <mergeCell ref="H94:L94"/>
    <mergeCell ref="P87:S87"/>
    <mergeCell ref="O94:S94"/>
    <mergeCell ref="V74:Z74"/>
    <mergeCell ref="W87:Z87"/>
    <mergeCell ref="V94:Z94"/>
    <mergeCell ref="CO76:CR76"/>
    <mergeCell ref="B46:E46"/>
    <mergeCell ref="K107:K108"/>
    <mergeCell ref="M99:M100"/>
    <mergeCell ref="L103:L104"/>
    <mergeCell ref="I68:L68"/>
    <mergeCell ref="B96:E96"/>
    <mergeCell ref="O85:S85"/>
    <mergeCell ref="I109:I110"/>
    <mergeCell ref="K101:K102"/>
    <mergeCell ref="L97:L98"/>
    <mergeCell ref="J105:J106"/>
    <mergeCell ref="H66:L66"/>
    <mergeCell ref="A94:E94"/>
    <mergeCell ref="A52:E52"/>
    <mergeCell ref="K109:K110"/>
    <mergeCell ref="W61:Z61"/>
    <mergeCell ref="M109:M110"/>
    <mergeCell ref="N105:N106"/>
    <mergeCell ref="O101:O102"/>
    <mergeCell ref="J109:J110"/>
    <mergeCell ref="AY54:BB54"/>
    <mergeCell ref="AQ59:AU59"/>
    <mergeCell ref="J97:J98"/>
    <mergeCell ref="N109:N110"/>
    <mergeCell ref="O105:O106"/>
    <mergeCell ref="I101:I102"/>
    <mergeCell ref="N107:N108"/>
    <mergeCell ref="O103:O104"/>
    <mergeCell ref="K99:K100"/>
    <mergeCell ref="I107:I108"/>
    <mergeCell ref="J103:J104"/>
    <mergeCell ref="J99:J100"/>
    <mergeCell ref="I103:I104"/>
    <mergeCell ref="I105:I106"/>
    <mergeCell ref="J101:J102"/>
    <mergeCell ref="B134:E134"/>
    <mergeCell ref="A140:E140"/>
    <mergeCell ref="L109:L110"/>
    <mergeCell ref="N101:N102"/>
    <mergeCell ref="M105:M106"/>
    <mergeCell ref="L101:L102"/>
    <mergeCell ref="K105:K106"/>
    <mergeCell ref="M97:M98"/>
    <mergeCell ref="J107:J108"/>
    <mergeCell ref="B112:E112"/>
    <mergeCell ref="I113:I114"/>
    <mergeCell ref="J113:J114"/>
    <mergeCell ref="K113:K114"/>
    <mergeCell ref="L113:L114"/>
    <mergeCell ref="M113:M114"/>
    <mergeCell ref="N113:N114"/>
    <mergeCell ref="I119:I120"/>
    <mergeCell ref="J119:J120"/>
    <mergeCell ref="K119:K120"/>
    <mergeCell ref="L119:L120"/>
    <mergeCell ref="M119:M120"/>
    <mergeCell ref="N119:N120"/>
    <mergeCell ref="A124:E124"/>
    <mergeCell ref="I125:I126"/>
    <mergeCell ref="AL112:AO112"/>
    <mergeCell ref="AS113:AS114"/>
    <mergeCell ref="AT113:AT114"/>
    <mergeCell ref="AU113:AU114"/>
    <mergeCell ref="AV113:AV114"/>
    <mergeCell ref="AW113:AW114"/>
    <mergeCell ref="AX113:AX114"/>
    <mergeCell ref="AY113:AY114"/>
    <mergeCell ref="AS115:AS116"/>
    <mergeCell ref="AT115:AT116"/>
    <mergeCell ref="AU115:AU116"/>
    <mergeCell ref="AV115:AV116"/>
    <mergeCell ref="AW115:AW116"/>
    <mergeCell ref="AX115:AX116"/>
    <mergeCell ref="AY115:AY116"/>
    <mergeCell ref="AS117:AS118"/>
    <mergeCell ref="AT117:AT118"/>
    <mergeCell ref="AU117:AU118"/>
    <mergeCell ref="AV117:AV118"/>
    <mergeCell ref="AW117:AW118"/>
    <mergeCell ref="AX117:AX118"/>
    <mergeCell ref="AY117:AY118"/>
    <mergeCell ref="AS119:AS120"/>
    <mergeCell ref="AT119:AT120"/>
    <mergeCell ref="AU119:AU120"/>
    <mergeCell ref="AV119:AV120"/>
    <mergeCell ref="AW119:AW120"/>
    <mergeCell ref="AX119:AX120"/>
    <mergeCell ref="AY119:AY120"/>
    <mergeCell ref="AS121:AS122"/>
    <mergeCell ref="AT121:AT122"/>
    <mergeCell ref="AU121:AU122"/>
    <mergeCell ref="AV121:AV122"/>
    <mergeCell ref="AW121:AW122"/>
    <mergeCell ref="AX121:AX122"/>
    <mergeCell ref="AY121:AY122"/>
    <mergeCell ref="AS123:AS124"/>
    <mergeCell ref="AT123:AT124"/>
    <mergeCell ref="AU123:AU124"/>
    <mergeCell ref="AV123:AV124"/>
    <mergeCell ref="AW123:AW124"/>
    <mergeCell ref="AX123:AX124"/>
    <mergeCell ref="AK124:AO124"/>
    <mergeCell ref="AS125:AS126"/>
    <mergeCell ref="AT125:AT126"/>
    <mergeCell ref="AU125:AU126"/>
    <mergeCell ref="AV125:AV126"/>
    <mergeCell ref="AW125:AW126"/>
    <mergeCell ref="AX125:AX126"/>
    <mergeCell ref="AY125:AY126"/>
    <mergeCell ref="AS127:AS128"/>
    <mergeCell ref="AT127:AT128"/>
    <mergeCell ref="AU127:AU128"/>
    <mergeCell ref="AV127:AV128"/>
    <mergeCell ref="AW127:AW128"/>
    <mergeCell ref="AX127:AX128"/>
    <mergeCell ref="AY127:AY128"/>
    <mergeCell ref="AS129:AS130"/>
    <mergeCell ref="AT129:AT130"/>
    <mergeCell ref="AU129:AU130"/>
    <mergeCell ref="AV129:AV130"/>
    <mergeCell ref="AW129:AW130"/>
    <mergeCell ref="AX129:AX130"/>
    <mergeCell ref="AY129:AY130"/>
    <mergeCell ref="AS131:AS132"/>
    <mergeCell ref="AT131:AT132"/>
    <mergeCell ref="AU131:AU132"/>
    <mergeCell ref="AV131:AV132"/>
    <mergeCell ref="AW131:AW132"/>
    <mergeCell ref="AX131:AX132"/>
    <mergeCell ref="AY131:AY132"/>
    <mergeCell ref="BD112:BG112"/>
    <mergeCell ref="BK113:BK114"/>
    <mergeCell ref="BL113:BL114"/>
    <mergeCell ref="BM113:BM114"/>
    <mergeCell ref="BN113:BN114"/>
    <mergeCell ref="BO113:BO114"/>
    <mergeCell ref="BP113:BP114"/>
    <mergeCell ref="BQ113:BQ114"/>
    <mergeCell ref="BK115:BK116"/>
    <mergeCell ref="BL115:BL116"/>
    <mergeCell ref="BM115:BM116"/>
    <mergeCell ref="BN115:BN116"/>
    <mergeCell ref="BO115:BO116"/>
    <mergeCell ref="BP115:BP116"/>
    <mergeCell ref="BQ115:BQ116"/>
    <mergeCell ref="BK117:BK118"/>
    <mergeCell ref="BL117:BL118"/>
    <mergeCell ref="BM117:BM118"/>
    <mergeCell ref="BN117:BN118"/>
    <mergeCell ref="BO117:BO118"/>
    <mergeCell ref="BP117:BP118"/>
    <mergeCell ref="BQ117:BQ118"/>
    <mergeCell ref="BK119:BK120"/>
    <mergeCell ref="BL119:BL120"/>
    <mergeCell ref="BM119:BM120"/>
    <mergeCell ref="BN119:BN120"/>
    <mergeCell ref="BO119:BO120"/>
    <mergeCell ref="BP119:BP120"/>
    <mergeCell ref="BQ119:BQ120"/>
    <mergeCell ref="BK121:BK122"/>
    <mergeCell ref="BL121:BL122"/>
    <mergeCell ref="BM121:BM122"/>
    <mergeCell ref="BN121:BN122"/>
    <mergeCell ref="BO121:BO122"/>
    <mergeCell ref="BP121:BP122"/>
    <mergeCell ref="BQ121:BQ122"/>
    <mergeCell ref="BK123:BK124"/>
    <mergeCell ref="BL123:BL124"/>
    <mergeCell ref="BM123:BM124"/>
    <mergeCell ref="BN123:BN124"/>
    <mergeCell ref="BO123:BO124"/>
    <mergeCell ref="BP123:BP124"/>
    <mergeCell ref="BL131:BL132"/>
    <mergeCell ref="BM131:BM132"/>
    <mergeCell ref="BN131:BN132"/>
    <mergeCell ref="BO131:BO132"/>
    <mergeCell ref="BP131:BP132"/>
    <mergeCell ref="BQ131:BQ132"/>
    <mergeCell ref="BC124:BG124"/>
    <mergeCell ref="BK125:BK126"/>
    <mergeCell ref="BL125:BL126"/>
    <mergeCell ref="BM125:BM126"/>
    <mergeCell ref="BN125:BN126"/>
    <mergeCell ref="BO125:BO126"/>
    <mergeCell ref="BP125:BP126"/>
    <mergeCell ref="BQ125:BQ126"/>
    <mergeCell ref="BK127:BK128"/>
    <mergeCell ref="BL127:BL128"/>
    <mergeCell ref="BM127:BM128"/>
    <mergeCell ref="BN127:BN128"/>
    <mergeCell ref="BO127:BO128"/>
    <mergeCell ref="BP127:BP128"/>
    <mergeCell ref="BQ127:BQ128"/>
    <mergeCell ref="BV112:BY112"/>
    <mergeCell ref="CC113:CC114"/>
    <mergeCell ref="CD113:CD114"/>
    <mergeCell ref="CE113:CE114"/>
    <mergeCell ref="CF113:CF114"/>
    <mergeCell ref="CG113:CG114"/>
    <mergeCell ref="CH113:CH114"/>
    <mergeCell ref="CI113:CI114"/>
    <mergeCell ref="CC115:CC116"/>
    <mergeCell ref="CD115:CD116"/>
    <mergeCell ref="CE115:CE116"/>
    <mergeCell ref="CF115:CF116"/>
    <mergeCell ref="CG115:CG116"/>
    <mergeCell ref="CH115:CH116"/>
    <mergeCell ref="CI115:CI116"/>
    <mergeCell ref="CC117:CC118"/>
    <mergeCell ref="CD117:CD118"/>
    <mergeCell ref="CE117:CE118"/>
    <mergeCell ref="CF117:CF118"/>
    <mergeCell ref="CG117:CG118"/>
    <mergeCell ref="CH117:CH118"/>
    <mergeCell ref="CI117:CI118"/>
    <mergeCell ref="CC119:CC120"/>
    <mergeCell ref="CD119:CD120"/>
    <mergeCell ref="CE119:CE120"/>
    <mergeCell ref="CF119:CF120"/>
    <mergeCell ref="CG119:CG120"/>
    <mergeCell ref="CH119:CH120"/>
    <mergeCell ref="CI119:CI120"/>
    <mergeCell ref="CC121:CC122"/>
    <mergeCell ref="CD121:CD122"/>
    <mergeCell ref="CE121:CE122"/>
    <mergeCell ref="CF121:CF122"/>
    <mergeCell ref="CG121:CG122"/>
    <mergeCell ref="CH121:CH122"/>
    <mergeCell ref="CI121:CI122"/>
    <mergeCell ref="CC123:CC124"/>
    <mergeCell ref="CD123:CD124"/>
    <mergeCell ref="CE123:CE124"/>
    <mergeCell ref="CF123:CF124"/>
    <mergeCell ref="CG123:CG124"/>
    <mergeCell ref="CH123:CH124"/>
    <mergeCell ref="BU124:BY124"/>
    <mergeCell ref="CC125:CC126"/>
    <mergeCell ref="CD125:CD126"/>
    <mergeCell ref="CE125:CE126"/>
    <mergeCell ref="CF125:CF126"/>
    <mergeCell ref="CG125:CG126"/>
    <mergeCell ref="CH125:CH126"/>
    <mergeCell ref="CI125:CI126"/>
    <mergeCell ref="CC127:CC128"/>
    <mergeCell ref="CD127:CD128"/>
    <mergeCell ref="CE127:CE128"/>
    <mergeCell ref="CF127:CF128"/>
    <mergeCell ref="CG127:CG128"/>
    <mergeCell ref="CH127:CH128"/>
    <mergeCell ref="CI127:CI128"/>
    <mergeCell ref="I134:L134"/>
    <mergeCell ref="H140:L140"/>
    <mergeCell ref="CC129:CC130"/>
    <mergeCell ref="CD129:CD130"/>
    <mergeCell ref="CE129:CE130"/>
    <mergeCell ref="CF129:CF130"/>
    <mergeCell ref="CG129:CG130"/>
    <mergeCell ref="CH129:CH130"/>
    <mergeCell ref="CI129:CI130"/>
    <mergeCell ref="CC131:CC132"/>
    <mergeCell ref="CD131:CD132"/>
    <mergeCell ref="CE131:CE132"/>
    <mergeCell ref="CF131:CF132"/>
    <mergeCell ref="CG131:CG132"/>
    <mergeCell ref="CH131:CH132"/>
    <mergeCell ref="CI131:CI132"/>
    <mergeCell ref="BK129:BK130"/>
    <mergeCell ref="BL129:BL130"/>
    <mergeCell ref="BM129:BM130"/>
    <mergeCell ref="BN129:BN130"/>
    <mergeCell ref="BO129:BO130"/>
    <mergeCell ref="BP129:BP130"/>
    <mergeCell ref="BQ129:BQ130"/>
    <mergeCell ref="BK131:BK132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84"/>
  <sheetViews>
    <sheetView topLeftCell="A46" workbookViewId="0">
      <selection activeCell="F64" sqref="F64"/>
    </sheetView>
  </sheetViews>
  <sheetFormatPr defaultColWidth="11.44140625" defaultRowHeight="15" customHeight="1"/>
  <cols>
    <col min="1" max="1" width="11.44140625" style="169" customWidth="1"/>
    <col min="2" max="2" width="20.109375" style="169" customWidth="1"/>
    <col min="3" max="7" width="11.44140625" style="169" customWidth="1"/>
    <col min="8" max="8" width="20.33203125" style="169" customWidth="1"/>
    <col min="9" max="9" width="21.44140625" style="169" customWidth="1"/>
    <col min="10" max="256" width="11.44140625" style="169" customWidth="1"/>
  </cols>
  <sheetData>
    <row r="1" spans="1:11" ht="15" customHeight="1">
      <c r="A1" s="891" t="s">
        <v>253</v>
      </c>
      <c r="B1" s="892"/>
      <c r="C1" s="892"/>
      <c r="D1" s="892"/>
      <c r="E1" s="892"/>
      <c r="F1" s="893"/>
      <c r="G1" s="96"/>
      <c r="H1" s="891" t="s">
        <v>254</v>
      </c>
      <c r="I1" s="892"/>
      <c r="J1" s="892"/>
      <c r="K1" s="893"/>
    </row>
    <row r="2" spans="1:11" ht="15" customHeight="1">
      <c r="A2" s="332" t="s">
        <v>255</v>
      </c>
      <c r="B2" s="899" t="s">
        <v>256</v>
      </c>
      <c r="C2" s="864"/>
      <c r="D2" s="864"/>
      <c r="E2" s="865"/>
      <c r="F2" s="333" t="s">
        <v>21</v>
      </c>
      <c r="G2" s="61"/>
      <c r="H2" s="84"/>
      <c r="I2" s="84"/>
      <c r="J2" s="84"/>
      <c r="K2" s="84"/>
    </row>
    <row r="3" spans="1:11" ht="15" customHeight="1">
      <c r="A3" s="355" t="s">
        <v>257</v>
      </c>
      <c r="B3" s="86" t="s">
        <v>258</v>
      </c>
      <c r="C3" s="86" t="s">
        <v>259</v>
      </c>
      <c r="D3" s="86" t="s">
        <v>260</v>
      </c>
      <c r="E3" s="86" t="s">
        <v>261</v>
      </c>
      <c r="F3" s="356" t="s">
        <v>262</v>
      </c>
      <c r="G3" s="96"/>
      <c r="H3" s="85" t="s">
        <v>263</v>
      </c>
      <c r="I3" s="86" t="s">
        <v>264</v>
      </c>
      <c r="J3" s="86" t="s">
        <v>265</v>
      </c>
      <c r="K3" s="87" t="s">
        <v>261</v>
      </c>
    </row>
    <row r="4" spans="1:11" ht="15" customHeight="1">
      <c r="A4" s="334">
        <v>1001</v>
      </c>
      <c r="B4" s="281" t="s">
        <v>266</v>
      </c>
      <c r="C4" s="281" t="s">
        <v>21</v>
      </c>
      <c r="D4" s="335">
        <v>1</v>
      </c>
      <c r="E4" s="336">
        <f>K4</f>
        <v>656.8</v>
      </c>
      <c r="F4" s="337">
        <f>(D4*E4)</f>
        <v>656.8</v>
      </c>
      <c r="G4" s="96"/>
      <c r="H4" s="345" t="s">
        <v>267</v>
      </c>
      <c r="I4" s="336">
        <v>400</v>
      </c>
      <c r="J4" s="334">
        <v>1.6419999999999999</v>
      </c>
      <c r="K4" s="346">
        <f>(I4*J4)</f>
        <v>656.8</v>
      </c>
    </row>
    <row r="5" spans="1:11" ht="15" customHeight="1">
      <c r="A5" s="292">
        <v>1002</v>
      </c>
      <c r="B5" s="285" t="s">
        <v>268</v>
      </c>
      <c r="C5" s="285" t="s">
        <v>21</v>
      </c>
      <c r="D5" s="338">
        <v>1</v>
      </c>
      <c r="E5" s="339">
        <f>K5</f>
        <v>433.53803999999997</v>
      </c>
      <c r="F5" s="340">
        <f>(D5*E5)</f>
        <v>433.53803999999997</v>
      </c>
      <c r="G5" s="96"/>
      <c r="H5" s="347" t="s">
        <v>269</v>
      </c>
      <c r="I5" s="339">
        <v>257.14</v>
      </c>
      <c r="J5" s="292">
        <v>1.6859999999999999</v>
      </c>
      <c r="K5" s="318">
        <f>(I5*J5)</f>
        <v>433.53803999999997</v>
      </c>
    </row>
    <row r="6" spans="1:11" ht="15" customHeight="1">
      <c r="A6" s="309">
        <v>1003</v>
      </c>
      <c r="B6" s="305" t="s">
        <v>270</v>
      </c>
      <c r="C6" s="305" t="s">
        <v>21</v>
      </c>
      <c r="D6" s="456">
        <f>2/20</f>
        <v>0.1</v>
      </c>
      <c r="E6" s="342">
        <f>K6</f>
        <v>701.99766</v>
      </c>
      <c r="F6" s="343">
        <f>(D6*E6)</f>
        <v>70.199765999999997</v>
      </c>
      <c r="G6" s="96"/>
      <c r="H6" s="348" t="s">
        <v>270</v>
      </c>
      <c r="I6" s="342">
        <v>428.57</v>
      </c>
      <c r="J6" s="309">
        <v>1.6379999999999999</v>
      </c>
      <c r="K6" s="349">
        <f>(I6*J6)</f>
        <v>701.99766</v>
      </c>
    </row>
    <row r="7" spans="1:11" ht="15" customHeight="1">
      <c r="A7" s="885" t="s">
        <v>271</v>
      </c>
      <c r="B7" s="886"/>
      <c r="C7" s="886"/>
      <c r="D7" s="886"/>
      <c r="E7" s="887"/>
      <c r="F7" s="344">
        <f>SUM(F4:F6)</f>
        <v>1160.5378059999998</v>
      </c>
      <c r="G7" s="67"/>
      <c r="H7" s="115"/>
      <c r="I7" s="115"/>
      <c r="J7" s="115"/>
      <c r="K7" s="115"/>
    </row>
    <row r="8" spans="1:11" ht="15" customHeight="1">
      <c r="A8" s="376"/>
      <c r="B8" s="377"/>
      <c r="C8" s="377"/>
      <c r="D8" s="377"/>
      <c r="E8" s="377"/>
      <c r="F8" s="377"/>
      <c r="G8" s="170"/>
      <c r="H8" s="61"/>
      <c r="I8" s="61"/>
      <c r="J8" s="61"/>
      <c r="K8" s="61"/>
    </row>
    <row r="9" spans="1:11" ht="15" customHeight="1">
      <c r="A9" s="353" t="s">
        <v>272</v>
      </c>
      <c r="B9" s="888" t="s">
        <v>975</v>
      </c>
      <c r="C9" s="889"/>
      <c r="D9" s="889"/>
      <c r="E9" s="889"/>
      <c r="F9" s="354" t="s">
        <v>21</v>
      </c>
      <c r="G9" s="170"/>
      <c r="H9" s="63"/>
      <c r="I9" s="63"/>
      <c r="J9" s="63"/>
      <c r="K9" s="63"/>
    </row>
    <row r="10" spans="1:11" ht="15" customHeight="1">
      <c r="A10" s="355" t="s">
        <v>257</v>
      </c>
      <c r="B10" s="86" t="s">
        <v>258</v>
      </c>
      <c r="C10" s="86" t="s">
        <v>259</v>
      </c>
      <c r="D10" s="86" t="s">
        <v>260</v>
      </c>
      <c r="E10" s="86" t="s">
        <v>261</v>
      </c>
      <c r="F10" s="356" t="s">
        <v>262</v>
      </c>
      <c r="G10" s="362"/>
      <c r="H10" s="85" t="s">
        <v>263</v>
      </c>
      <c r="I10" s="86" t="s">
        <v>264</v>
      </c>
      <c r="J10" s="86" t="s">
        <v>265</v>
      </c>
      <c r="K10" s="87" t="s">
        <v>261</v>
      </c>
    </row>
    <row r="11" spans="1:11" ht="15" customHeight="1">
      <c r="A11" s="378">
        <v>2001</v>
      </c>
      <c r="B11" s="71" t="s">
        <v>273</v>
      </c>
      <c r="C11" s="71" t="s">
        <v>21</v>
      </c>
      <c r="D11" s="72">
        <v>1</v>
      </c>
      <c r="E11" s="73">
        <f>K4</f>
        <v>656.8</v>
      </c>
      <c r="F11" s="357">
        <f>D11*E11</f>
        <v>656.8</v>
      </c>
      <c r="G11" s="362"/>
      <c r="H11" s="88" t="s">
        <v>274</v>
      </c>
      <c r="I11" s="73">
        <v>400</v>
      </c>
      <c r="J11" s="72">
        <v>1.6419999999999999</v>
      </c>
      <c r="K11" s="74">
        <f>(I11*J11)</f>
        <v>656.8</v>
      </c>
    </row>
    <row r="12" spans="1:11" ht="15" customHeight="1">
      <c r="A12" s="358">
        <v>2002</v>
      </c>
      <c r="B12" s="75" t="s">
        <v>275</v>
      </c>
      <c r="C12" s="75" t="s">
        <v>21</v>
      </c>
      <c r="D12" s="76">
        <v>1</v>
      </c>
      <c r="E12" s="77">
        <f>K5</f>
        <v>433.53803999999997</v>
      </c>
      <c r="F12" s="359">
        <f>D12*E12</f>
        <v>433.53803999999997</v>
      </c>
      <c r="G12" s="362"/>
      <c r="H12" s="101" t="s">
        <v>269</v>
      </c>
      <c r="I12" s="77">
        <v>257.14</v>
      </c>
      <c r="J12" s="76">
        <v>1.6859999999999999</v>
      </c>
      <c r="K12" s="78">
        <f>(I12*J12)</f>
        <v>433.53803999999997</v>
      </c>
    </row>
    <row r="13" spans="1:11" ht="15" customHeight="1">
      <c r="A13" s="379">
        <v>2003</v>
      </c>
      <c r="B13" s="131" t="s">
        <v>276</v>
      </c>
      <c r="C13" s="131" t="s">
        <v>21</v>
      </c>
      <c r="D13" s="456">
        <f>2/20</f>
        <v>0.1</v>
      </c>
      <c r="E13" s="132">
        <f>K6</f>
        <v>701.99766</v>
      </c>
      <c r="F13" s="360">
        <f>D13*E13</f>
        <v>70.199765999999997</v>
      </c>
      <c r="G13" s="362"/>
      <c r="H13" s="90" t="s">
        <v>270</v>
      </c>
      <c r="I13" s="81">
        <v>428.57</v>
      </c>
      <c r="J13" s="80">
        <v>1.6379999999999999</v>
      </c>
      <c r="K13" s="82">
        <f>(I13*J13)</f>
        <v>701.99766</v>
      </c>
    </row>
    <row r="14" spans="1:11" ht="15" customHeight="1">
      <c r="A14" s="885" t="s">
        <v>79</v>
      </c>
      <c r="B14" s="886"/>
      <c r="C14" s="886"/>
      <c r="D14" s="886"/>
      <c r="E14" s="887"/>
      <c r="F14" s="361">
        <f>SUM(F11:F13)</f>
        <v>1160.5378059999998</v>
      </c>
      <c r="G14" s="170"/>
      <c r="H14" s="115"/>
      <c r="I14" s="115"/>
      <c r="J14" s="115"/>
      <c r="K14" s="115"/>
    </row>
    <row r="15" spans="1:11" ht="15" customHeight="1">
      <c r="A15" s="894"/>
      <c r="B15" s="895"/>
      <c r="C15" s="895"/>
      <c r="D15" s="895"/>
      <c r="E15" s="895"/>
      <c r="F15" s="895"/>
      <c r="G15" s="170"/>
      <c r="H15" s="61"/>
      <c r="I15" s="61"/>
      <c r="J15" s="61"/>
      <c r="K15" s="61"/>
    </row>
    <row r="16" spans="1:11" ht="15" customHeight="1">
      <c r="A16" s="353" t="s">
        <v>277</v>
      </c>
      <c r="B16" s="888" t="s">
        <v>976</v>
      </c>
      <c r="C16" s="889"/>
      <c r="D16" s="889"/>
      <c r="E16" s="889"/>
      <c r="F16" s="354" t="s">
        <v>21</v>
      </c>
      <c r="G16" s="170"/>
      <c r="H16" s="63"/>
      <c r="I16" s="63"/>
      <c r="J16" s="63"/>
      <c r="K16" s="63"/>
    </row>
    <row r="17" spans="1:11" ht="15" customHeight="1">
      <c r="A17" s="355" t="s">
        <v>257</v>
      </c>
      <c r="B17" s="86" t="s">
        <v>258</v>
      </c>
      <c r="C17" s="86" t="s">
        <v>259</v>
      </c>
      <c r="D17" s="86" t="s">
        <v>260</v>
      </c>
      <c r="E17" s="86" t="s">
        <v>261</v>
      </c>
      <c r="F17" s="356" t="s">
        <v>262</v>
      </c>
      <c r="G17" s="362"/>
      <c r="H17" s="85" t="s">
        <v>263</v>
      </c>
      <c r="I17" s="86" t="s">
        <v>264</v>
      </c>
      <c r="J17" s="86" t="s">
        <v>265</v>
      </c>
      <c r="K17" s="87" t="s">
        <v>261</v>
      </c>
    </row>
    <row r="18" spans="1:11" ht="15" customHeight="1">
      <c r="A18" s="378">
        <v>3001</v>
      </c>
      <c r="B18" s="71" t="s">
        <v>278</v>
      </c>
      <c r="C18" s="71" t="s">
        <v>21</v>
      </c>
      <c r="D18" s="72">
        <v>1</v>
      </c>
      <c r="E18" s="73">
        <f>K11</f>
        <v>656.8</v>
      </c>
      <c r="F18" s="357">
        <f>D18*E18</f>
        <v>656.8</v>
      </c>
      <c r="G18" s="362"/>
      <c r="H18" s="88" t="s">
        <v>279</v>
      </c>
      <c r="I18" s="73">
        <v>400</v>
      </c>
      <c r="J18" s="72">
        <v>1.6419999999999999</v>
      </c>
      <c r="K18" s="74">
        <f>(I18*J18)</f>
        <v>656.8</v>
      </c>
    </row>
    <row r="19" spans="1:11" ht="15" customHeight="1">
      <c r="A19" s="358">
        <v>3002</v>
      </c>
      <c r="B19" s="75" t="s">
        <v>280</v>
      </c>
      <c r="C19" s="75" t="s">
        <v>21</v>
      </c>
      <c r="D19" s="76">
        <v>1</v>
      </c>
      <c r="E19" s="77">
        <f>K12</f>
        <v>433.53803999999997</v>
      </c>
      <c r="F19" s="359">
        <f>D19*E19</f>
        <v>433.53803999999997</v>
      </c>
      <c r="G19" s="362"/>
      <c r="H19" s="101" t="s">
        <v>281</v>
      </c>
      <c r="I19" s="77">
        <v>257.14</v>
      </c>
      <c r="J19" s="76">
        <v>1.6859999999999999</v>
      </c>
      <c r="K19" s="78">
        <f>(I19*J19)</f>
        <v>433.53803999999997</v>
      </c>
    </row>
    <row r="20" spans="1:11" ht="15" customHeight="1">
      <c r="A20" s="379">
        <v>3003</v>
      </c>
      <c r="B20" s="131" t="s">
        <v>276</v>
      </c>
      <c r="C20" s="131" t="s">
        <v>21</v>
      </c>
      <c r="D20" s="456">
        <f>2/20</f>
        <v>0.1</v>
      </c>
      <c r="E20" s="132">
        <f>K13</f>
        <v>701.99766</v>
      </c>
      <c r="F20" s="360">
        <f>D20*E20</f>
        <v>70.199765999999997</v>
      </c>
      <c r="G20" s="362"/>
      <c r="H20" s="90" t="s">
        <v>270</v>
      </c>
      <c r="I20" s="81">
        <v>428.57</v>
      </c>
      <c r="J20" s="80">
        <v>1.6379999999999999</v>
      </c>
      <c r="K20" s="82">
        <f>(I20*J20)</f>
        <v>701.99766</v>
      </c>
    </row>
    <row r="21" spans="1:11" ht="15" customHeight="1">
      <c r="A21" s="885" t="s">
        <v>79</v>
      </c>
      <c r="B21" s="886"/>
      <c r="C21" s="886"/>
      <c r="D21" s="886"/>
      <c r="E21" s="887"/>
      <c r="F21" s="361">
        <f>SUM(F18:F20)</f>
        <v>1160.5378059999998</v>
      </c>
      <c r="G21" s="170"/>
      <c r="H21" s="115"/>
      <c r="I21" s="115"/>
      <c r="J21" s="115"/>
      <c r="K21" s="115"/>
    </row>
    <row r="22" spans="1:11" ht="15" customHeight="1">
      <c r="A22" s="894"/>
      <c r="B22" s="895"/>
      <c r="C22" s="895"/>
      <c r="D22" s="895"/>
      <c r="E22" s="895"/>
      <c r="F22" s="895"/>
      <c r="G22" s="170"/>
      <c r="H22" s="61"/>
      <c r="I22" s="61"/>
      <c r="J22" s="61"/>
      <c r="K22" s="61"/>
    </row>
    <row r="23" spans="1:11" ht="15" customHeight="1">
      <c r="A23" s="353" t="s">
        <v>194</v>
      </c>
      <c r="B23" s="888" t="s">
        <v>977</v>
      </c>
      <c r="C23" s="889"/>
      <c r="D23" s="889"/>
      <c r="E23" s="889"/>
      <c r="F23" s="354" t="s">
        <v>21</v>
      </c>
      <c r="G23" s="170"/>
      <c r="H23" s="63"/>
      <c r="I23" s="63"/>
      <c r="J23" s="63"/>
      <c r="K23" s="63"/>
    </row>
    <row r="24" spans="1:11" ht="15" customHeight="1">
      <c r="A24" s="355" t="s">
        <v>257</v>
      </c>
      <c r="B24" s="86" t="s">
        <v>258</v>
      </c>
      <c r="C24" s="86" t="s">
        <v>259</v>
      </c>
      <c r="D24" s="86" t="s">
        <v>260</v>
      </c>
      <c r="E24" s="86" t="s">
        <v>261</v>
      </c>
      <c r="F24" s="356" t="s">
        <v>262</v>
      </c>
      <c r="G24" s="362"/>
      <c r="H24" s="85" t="s">
        <v>263</v>
      </c>
      <c r="I24" s="86" t="s">
        <v>264</v>
      </c>
      <c r="J24" s="86" t="s">
        <v>265</v>
      </c>
      <c r="K24" s="87" t="s">
        <v>261</v>
      </c>
    </row>
    <row r="25" spans="1:11" ht="15" customHeight="1">
      <c r="A25" s="378">
        <v>1001</v>
      </c>
      <c r="B25" s="71" t="s">
        <v>278</v>
      </c>
      <c r="C25" s="71" t="s">
        <v>21</v>
      </c>
      <c r="D25" s="72">
        <v>1</v>
      </c>
      <c r="E25" s="73">
        <f>K18</f>
        <v>656.8</v>
      </c>
      <c r="F25" s="357">
        <f>D25*E25</f>
        <v>656.8</v>
      </c>
      <c r="G25" s="362"/>
      <c r="H25" s="88" t="s">
        <v>267</v>
      </c>
      <c r="I25" s="73">
        <v>400</v>
      </c>
      <c r="J25" s="72">
        <v>1.6419999999999999</v>
      </c>
      <c r="K25" s="74">
        <f>(I25*J25)</f>
        <v>656.8</v>
      </c>
    </row>
    <row r="26" spans="1:11" ht="15" customHeight="1">
      <c r="A26" s="358">
        <v>1002</v>
      </c>
      <c r="B26" s="75" t="s">
        <v>280</v>
      </c>
      <c r="C26" s="75" t="s">
        <v>21</v>
      </c>
      <c r="D26" s="76">
        <v>5</v>
      </c>
      <c r="E26" s="77">
        <f>K19</f>
        <v>433.53803999999997</v>
      </c>
      <c r="F26" s="359">
        <f>D26*E26</f>
        <v>2167.6902</v>
      </c>
      <c r="G26" s="362"/>
      <c r="H26" s="101" t="s">
        <v>282</v>
      </c>
      <c r="I26" s="77">
        <v>257.14</v>
      </c>
      <c r="J26" s="76">
        <v>1.6859999999999999</v>
      </c>
      <c r="K26" s="78">
        <f>(I26*J26)</f>
        <v>433.53803999999997</v>
      </c>
    </row>
    <row r="27" spans="1:11" ht="15" customHeight="1">
      <c r="A27" s="379">
        <v>1003</v>
      </c>
      <c r="B27" s="131" t="s">
        <v>276</v>
      </c>
      <c r="C27" s="131" t="s">
        <v>21</v>
      </c>
      <c r="D27" s="130">
        <f>6/20</f>
        <v>0.3</v>
      </c>
      <c r="E27" s="132">
        <f>K20</f>
        <v>701.99766</v>
      </c>
      <c r="F27" s="360">
        <f>D27*E27</f>
        <v>210.599298</v>
      </c>
      <c r="G27" s="362"/>
      <c r="H27" s="90" t="s">
        <v>270</v>
      </c>
      <c r="I27" s="81">
        <v>428.57</v>
      </c>
      <c r="J27" s="80">
        <v>1.6379999999999999</v>
      </c>
      <c r="K27" s="82">
        <f>(I27*J27)</f>
        <v>701.99766</v>
      </c>
    </row>
    <row r="28" spans="1:11" ht="15" customHeight="1">
      <c r="A28" s="896" t="s">
        <v>79</v>
      </c>
      <c r="B28" s="897"/>
      <c r="C28" s="897"/>
      <c r="D28" s="897"/>
      <c r="E28" s="898"/>
      <c r="F28" s="361">
        <f>SUM(F25:F27)</f>
        <v>3035.0894980000003</v>
      </c>
      <c r="G28" s="170"/>
      <c r="H28" s="115"/>
      <c r="I28" s="115"/>
      <c r="J28" s="115"/>
      <c r="K28" s="115"/>
    </row>
    <row r="29" spans="1:11" ht="15" customHeight="1">
      <c r="A29" s="352"/>
      <c r="B29" s="352"/>
      <c r="C29" s="352"/>
      <c r="D29" s="352"/>
      <c r="E29" s="352"/>
      <c r="F29" s="352"/>
      <c r="G29" s="61"/>
      <c r="H29" s="61"/>
      <c r="I29" s="61"/>
      <c r="J29" s="61"/>
      <c r="K29" s="61"/>
    </row>
    <row r="30" spans="1:11" ht="15" customHeight="1">
      <c r="A30" s="363" t="s">
        <v>283</v>
      </c>
      <c r="B30" s="890" t="s">
        <v>978</v>
      </c>
      <c r="C30" s="884"/>
      <c r="D30" s="884"/>
      <c r="E30" s="884"/>
      <c r="F30" s="364" t="s">
        <v>21</v>
      </c>
      <c r="G30" s="170"/>
      <c r="H30" s="63"/>
      <c r="I30" s="63"/>
      <c r="J30" s="63"/>
      <c r="K30" s="63"/>
    </row>
    <row r="31" spans="1:11" ht="15" customHeight="1">
      <c r="A31" s="355" t="s">
        <v>257</v>
      </c>
      <c r="B31" s="86" t="s">
        <v>258</v>
      </c>
      <c r="C31" s="86" t="s">
        <v>259</v>
      </c>
      <c r="D31" s="86" t="s">
        <v>260</v>
      </c>
      <c r="E31" s="86" t="s">
        <v>261</v>
      </c>
      <c r="F31" s="356" t="s">
        <v>262</v>
      </c>
      <c r="G31" s="362"/>
      <c r="H31" s="85" t="s">
        <v>263</v>
      </c>
      <c r="I31" s="86" t="s">
        <v>264</v>
      </c>
      <c r="J31" s="86" t="s">
        <v>265</v>
      </c>
      <c r="K31" s="87" t="s">
        <v>261</v>
      </c>
    </row>
    <row r="32" spans="1:11" ht="15" customHeight="1">
      <c r="A32" s="365">
        <v>1001</v>
      </c>
      <c r="B32" s="281" t="s">
        <v>278</v>
      </c>
      <c r="C32" s="281" t="s">
        <v>21</v>
      </c>
      <c r="D32" s="334">
        <v>1</v>
      </c>
      <c r="E32" s="336">
        <f>K25</f>
        <v>656.8</v>
      </c>
      <c r="F32" s="366">
        <f>D32*E32</f>
        <v>656.8</v>
      </c>
      <c r="G32" s="362"/>
      <c r="H32" s="345" t="s">
        <v>284</v>
      </c>
      <c r="I32" s="336">
        <v>400</v>
      </c>
      <c r="J32" s="334">
        <v>1.6419999999999999</v>
      </c>
      <c r="K32" s="346">
        <f>(I32*J32)</f>
        <v>656.8</v>
      </c>
    </row>
    <row r="33" spans="1:11" ht="15" customHeight="1">
      <c r="A33" s="367">
        <v>1002</v>
      </c>
      <c r="B33" s="285" t="s">
        <v>280</v>
      </c>
      <c r="C33" s="285" t="s">
        <v>21</v>
      </c>
      <c r="D33" s="292">
        <v>1</v>
      </c>
      <c r="E33" s="339">
        <f>K26</f>
        <v>433.53803999999997</v>
      </c>
      <c r="F33" s="368">
        <f>D33*E33</f>
        <v>433.53803999999997</v>
      </c>
      <c r="G33" s="362"/>
      <c r="H33" s="347" t="s">
        <v>285</v>
      </c>
      <c r="I33" s="339">
        <v>257.14</v>
      </c>
      <c r="J33" s="292">
        <v>1.6859999999999999</v>
      </c>
      <c r="K33" s="318">
        <f>(I33*J33)</f>
        <v>433.53803999999997</v>
      </c>
    </row>
    <row r="34" spans="1:11" ht="15" customHeight="1">
      <c r="A34" s="369">
        <v>1003</v>
      </c>
      <c r="B34" s="350" t="s">
        <v>276</v>
      </c>
      <c r="C34" s="350" t="s">
        <v>21</v>
      </c>
      <c r="D34" s="456">
        <f>2/20</f>
        <v>0.1</v>
      </c>
      <c r="E34" s="351">
        <f>K27</f>
        <v>701.99766</v>
      </c>
      <c r="F34" s="370">
        <f>D34*E34</f>
        <v>70.199765999999997</v>
      </c>
      <c r="G34" s="362"/>
      <c r="H34" s="348" t="s">
        <v>270</v>
      </c>
      <c r="I34" s="342">
        <v>428.57</v>
      </c>
      <c r="J34" s="309">
        <v>1.6379999999999999</v>
      </c>
      <c r="K34" s="349">
        <f>(I34*J34)</f>
        <v>701.99766</v>
      </c>
    </row>
    <row r="35" spans="1:11" ht="15" customHeight="1">
      <c r="A35" s="885" t="s">
        <v>79</v>
      </c>
      <c r="B35" s="886"/>
      <c r="C35" s="886"/>
      <c r="D35" s="886"/>
      <c r="E35" s="887"/>
      <c r="F35" s="371">
        <f>SUM(F32:F34)</f>
        <v>1160.5378059999998</v>
      </c>
      <c r="G35" s="170"/>
      <c r="H35" s="115"/>
      <c r="I35" s="115"/>
      <c r="J35" s="115"/>
      <c r="K35" s="115"/>
    </row>
    <row r="36" spans="1:11" ht="15" customHeight="1">
      <c r="A36" s="352"/>
      <c r="B36" s="352"/>
      <c r="C36" s="352"/>
      <c r="D36" s="352"/>
      <c r="E36" s="352"/>
      <c r="F36" s="352"/>
      <c r="G36" s="61"/>
      <c r="H36" s="61"/>
      <c r="I36" s="61"/>
      <c r="J36" s="61"/>
      <c r="K36" s="61"/>
    </row>
    <row r="37" spans="1:11" ht="15" customHeight="1">
      <c r="A37" s="363" t="s">
        <v>286</v>
      </c>
      <c r="B37" s="890" t="s">
        <v>979</v>
      </c>
      <c r="C37" s="884"/>
      <c r="D37" s="884"/>
      <c r="E37" s="884"/>
      <c r="F37" s="364" t="s">
        <v>21</v>
      </c>
      <c r="G37" s="170"/>
      <c r="H37" s="63"/>
      <c r="I37" s="63"/>
      <c r="J37" s="63"/>
      <c r="K37" s="63"/>
    </row>
    <row r="38" spans="1:11" ht="15" customHeight="1">
      <c r="A38" s="355" t="s">
        <v>257</v>
      </c>
      <c r="B38" s="86" t="s">
        <v>258</v>
      </c>
      <c r="C38" s="86" t="s">
        <v>259</v>
      </c>
      <c r="D38" s="86" t="s">
        <v>260</v>
      </c>
      <c r="E38" s="86" t="s">
        <v>261</v>
      </c>
      <c r="F38" s="356" t="s">
        <v>262</v>
      </c>
      <c r="G38" s="362"/>
      <c r="H38" s="85" t="s">
        <v>263</v>
      </c>
      <c r="I38" s="86" t="s">
        <v>264</v>
      </c>
      <c r="J38" s="86" t="s">
        <v>265</v>
      </c>
      <c r="K38" s="87" t="s">
        <v>261</v>
      </c>
    </row>
    <row r="39" spans="1:11" ht="15" customHeight="1">
      <c r="A39" s="365">
        <v>1001</v>
      </c>
      <c r="B39" s="281" t="s">
        <v>278</v>
      </c>
      <c r="C39" s="281" t="s">
        <v>21</v>
      </c>
      <c r="D39" s="334">
        <v>1</v>
      </c>
      <c r="E39" s="336">
        <f>K32</f>
        <v>656.8</v>
      </c>
      <c r="F39" s="366">
        <f>D39*E39</f>
        <v>656.8</v>
      </c>
      <c r="G39" s="362"/>
      <c r="H39" s="345" t="s">
        <v>284</v>
      </c>
      <c r="I39" s="336">
        <v>400</v>
      </c>
      <c r="J39" s="334">
        <v>1.6419999999999999</v>
      </c>
      <c r="K39" s="346">
        <f>(I39*J39)</f>
        <v>656.8</v>
      </c>
    </row>
    <row r="40" spans="1:11" ht="15" customHeight="1">
      <c r="A40" s="367">
        <v>1002</v>
      </c>
      <c r="B40" s="285" t="s">
        <v>280</v>
      </c>
      <c r="C40" s="285" t="s">
        <v>21</v>
      </c>
      <c r="D40" s="292">
        <v>2</v>
      </c>
      <c r="E40" s="339">
        <f>K33</f>
        <v>433.53803999999997</v>
      </c>
      <c r="F40" s="368">
        <f>D40*E40</f>
        <v>867.07607999999993</v>
      </c>
      <c r="G40" s="362"/>
      <c r="H40" s="347" t="s">
        <v>285</v>
      </c>
      <c r="I40" s="339">
        <v>257.14</v>
      </c>
      <c r="J40" s="292">
        <v>1.6859999999999999</v>
      </c>
      <c r="K40" s="318">
        <f>(I40*J40)</f>
        <v>433.53803999999997</v>
      </c>
    </row>
    <row r="41" spans="1:11" ht="15" customHeight="1">
      <c r="A41" s="372">
        <v>1003</v>
      </c>
      <c r="B41" s="373" t="s">
        <v>276</v>
      </c>
      <c r="C41" s="373" t="s">
        <v>21</v>
      </c>
      <c r="D41" s="374">
        <f>3/20</f>
        <v>0.15</v>
      </c>
      <c r="E41" s="375">
        <f>K34</f>
        <v>701.99766</v>
      </c>
      <c r="F41" s="370">
        <f>D41*E41</f>
        <v>105.299649</v>
      </c>
      <c r="G41" s="362"/>
      <c r="H41" s="348" t="s">
        <v>270</v>
      </c>
      <c r="I41" s="342">
        <v>428.57</v>
      </c>
      <c r="J41" s="309">
        <v>1.6379999999999999</v>
      </c>
      <c r="K41" s="349">
        <f>(I41*J41)</f>
        <v>701.99766</v>
      </c>
    </row>
    <row r="42" spans="1:11" ht="15" customHeight="1">
      <c r="A42" s="885" t="s">
        <v>79</v>
      </c>
      <c r="B42" s="886"/>
      <c r="C42" s="886"/>
      <c r="D42" s="886"/>
      <c r="E42" s="887"/>
      <c r="F42" s="371">
        <f>SUM(F39:F41)</f>
        <v>1629.175729</v>
      </c>
      <c r="G42" s="170"/>
      <c r="H42" s="115"/>
      <c r="I42" s="115"/>
      <c r="J42" s="115"/>
      <c r="K42" s="115"/>
    </row>
    <row r="43" spans="1:11" ht="15" customHeight="1">
      <c r="A43" s="352"/>
      <c r="B43" s="352"/>
      <c r="C43" s="352"/>
      <c r="D43" s="352"/>
      <c r="E43" s="352"/>
      <c r="F43" s="352"/>
      <c r="G43" s="61"/>
      <c r="H43" s="61"/>
      <c r="I43" s="61"/>
      <c r="J43" s="61"/>
      <c r="K43" s="61"/>
    </row>
    <row r="44" spans="1:11" ht="15" customHeight="1">
      <c r="A44" s="363" t="s">
        <v>287</v>
      </c>
      <c r="B44" s="890" t="s">
        <v>980</v>
      </c>
      <c r="C44" s="884"/>
      <c r="D44" s="884"/>
      <c r="E44" s="884"/>
      <c r="F44" s="364" t="s">
        <v>21</v>
      </c>
      <c r="G44" s="170"/>
      <c r="H44" s="63"/>
      <c r="I44" s="63"/>
      <c r="J44" s="63"/>
      <c r="K44" s="63"/>
    </row>
    <row r="45" spans="1:11" ht="15" customHeight="1">
      <c r="A45" s="355" t="s">
        <v>257</v>
      </c>
      <c r="B45" s="86" t="s">
        <v>258</v>
      </c>
      <c r="C45" s="86" t="s">
        <v>259</v>
      </c>
      <c r="D45" s="86" t="s">
        <v>260</v>
      </c>
      <c r="E45" s="86" t="s">
        <v>261</v>
      </c>
      <c r="F45" s="356" t="s">
        <v>262</v>
      </c>
      <c r="G45" s="362"/>
      <c r="H45" s="85" t="s">
        <v>263</v>
      </c>
      <c r="I45" s="86" t="s">
        <v>264</v>
      </c>
      <c r="J45" s="86" t="s">
        <v>265</v>
      </c>
      <c r="K45" s="87" t="s">
        <v>261</v>
      </c>
    </row>
    <row r="46" spans="1:11" ht="15" customHeight="1">
      <c r="A46" s="365">
        <v>1001</v>
      </c>
      <c r="B46" s="281" t="s">
        <v>278</v>
      </c>
      <c r="C46" s="281" t="s">
        <v>21</v>
      </c>
      <c r="D46" s="334">
        <v>1</v>
      </c>
      <c r="E46" s="336">
        <f>K39</f>
        <v>656.8</v>
      </c>
      <c r="F46" s="366">
        <f>D46*E46</f>
        <v>656.8</v>
      </c>
      <c r="G46" s="362"/>
      <c r="H46" s="345" t="s">
        <v>981</v>
      </c>
      <c r="I46" s="336">
        <v>400</v>
      </c>
      <c r="J46" s="334">
        <v>1.6419999999999999</v>
      </c>
      <c r="K46" s="346">
        <f>(I46*J46)</f>
        <v>656.8</v>
      </c>
    </row>
    <row r="47" spans="1:11" ht="15" customHeight="1">
      <c r="A47" s="367">
        <v>1002</v>
      </c>
      <c r="B47" s="285" t="s">
        <v>280</v>
      </c>
      <c r="C47" s="285" t="s">
        <v>21</v>
      </c>
      <c r="D47" s="292">
        <v>1</v>
      </c>
      <c r="E47" s="339">
        <f>K40</f>
        <v>433.53803999999997</v>
      </c>
      <c r="F47" s="368">
        <f>D47*E47</f>
        <v>433.53803999999997</v>
      </c>
      <c r="G47" s="362"/>
      <c r="H47" s="347" t="s">
        <v>982</v>
      </c>
      <c r="I47" s="339">
        <v>257.14</v>
      </c>
      <c r="J47" s="292">
        <v>1.6859999999999999</v>
      </c>
      <c r="K47" s="318">
        <f>(I47*J47)</f>
        <v>433.53803999999997</v>
      </c>
    </row>
    <row r="48" spans="1:11" ht="15" customHeight="1">
      <c r="A48" s="369">
        <v>1003</v>
      </c>
      <c r="B48" s="350" t="s">
        <v>276</v>
      </c>
      <c r="C48" s="350" t="s">
        <v>21</v>
      </c>
      <c r="D48" s="456">
        <f>2/20</f>
        <v>0.1</v>
      </c>
      <c r="E48" s="351">
        <f>K41</f>
        <v>701.99766</v>
      </c>
      <c r="F48" s="370">
        <f>D48*E48</f>
        <v>70.199765999999997</v>
      </c>
      <c r="G48" s="362"/>
      <c r="H48" s="348" t="s">
        <v>270</v>
      </c>
      <c r="I48" s="342">
        <v>428.57</v>
      </c>
      <c r="J48" s="309">
        <v>1.6379999999999999</v>
      </c>
      <c r="K48" s="349">
        <f>(I48*J48)</f>
        <v>701.99766</v>
      </c>
    </row>
    <row r="49" spans="1:11" ht="15" customHeight="1">
      <c r="A49" s="885" t="s">
        <v>79</v>
      </c>
      <c r="B49" s="886"/>
      <c r="C49" s="886"/>
      <c r="D49" s="886"/>
      <c r="E49" s="887"/>
      <c r="F49" s="371">
        <f>SUM(F46:F48)</f>
        <v>1160.5378059999998</v>
      </c>
      <c r="G49" s="170"/>
      <c r="H49" s="115"/>
      <c r="I49" s="115"/>
      <c r="J49" s="115"/>
      <c r="K49" s="115"/>
    </row>
    <row r="51" spans="1:11" ht="15" customHeight="1">
      <c r="A51" s="363" t="s">
        <v>1013</v>
      </c>
      <c r="B51" s="883" t="s">
        <v>1011</v>
      </c>
      <c r="C51" s="884"/>
      <c r="D51" s="884"/>
      <c r="E51" s="884"/>
      <c r="F51" s="364" t="s">
        <v>21</v>
      </c>
      <c r="G51" s="170"/>
      <c r="H51" s="63"/>
      <c r="I51" s="63"/>
      <c r="J51" s="63"/>
      <c r="K51" s="63"/>
    </row>
    <row r="52" spans="1:11" ht="15" customHeight="1">
      <c r="A52" s="355" t="s">
        <v>257</v>
      </c>
      <c r="B52" s="86" t="s">
        <v>258</v>
      </c>
      <c r="C52" s="86" t="s">
        <v>259</v>
      </c>
      <c r="D52" s="86" t="s">
        <v>260</v>
      </c>
      <c r="E52" s="86" t="s">
        <v>261</v>
      </c>
      <c r="F52" s="356" t="s">
        <v>262</v>
      </c>
      <c r="G52" s="362"/>
      <c r="H52" s="85" t="s">
        <v>263</v>
      </c>
      <c r="I52" s="86" t="s">
        <v>264</v>
      </c>
      <c r="J52" s="86" t="s">
        <v>265</v>
      </c>
      <c r="K52" s="87" t="s">
        <v>261</v>
      </c>
    </row>
    <row r="53" spans="1:11" ht="15" customHeight="1">
      <c r="A53" s="365">
        <v>1001</v>
      </c>
      <c r="B53" s="281" t="s">
        <v>278</v>
      </c>
      <c r="C53" s="281" t="s">
        <v>21</v>
      </c>
      <c r="D53" s="334">
        <v>1</v>
      </c>
      <c r="E53" s="336">
        <f>K46</f>
        <v>656.8</v>
      </c>
      <c r="F53" s="366">
        <f>D53*E53</f>
        <v>656.8</v>
      </c>
      <c r="G53" s="362"/>
      <c r="H53" s="467" t="s">
        <v>1012</v>
      </c>
      <c r="I53" s="336">
        <v>400</v>
      </c>
      <c r="J53" s="334">
        <v>1.6419999999999999</v>
      </c>
      <c r="K53" s="346">
        <f>(I53*J53)</f>
        <v>656.8</v>
      </c>
    </row>
    <row r="54" spans="1:11" ht="15" customHeight="1">
      <c r="A54" s="367">
        <v>1002</v>
      </c>
      <c r="B54" s="285" t="s">
        <v>280</v>
      </c>
      <c r="C54" s="285" t="s">
        <v>21</v>
      </c>
      <c r="D54" s="292">
        <v>1</v>
      </c>
      <c r="E54" s="339">
        <f>K47</f>
        <v>433.53803999999997</v>
      </c>
      <c r="F54" s="368">
        <f>D54*E54</f>
        <v>433.53803999999997</v>
      </c>
      <c r="G54" s="362"/>
      <c r="H54" s="468" t="s">
        <v>1014</v>
      </c>
      <c r="I54" s="339">
        <v>257.14</v>
      </c>
      <c r="J54" s="292">
        <v>1.6859999999999999</v>
      </c>
      <c r="K54" s="318">
        <f>(I54*J54)</f>
        <v>433.53803999999997</v>
      </c>
    </row>
    <row r="55" spans="1:11" ht="15" customHeight="1">
      <c r="A55" s="369">
        <v>1003</v>
      </c>
      <c r="B55" s="350" t="s">
        <v>276</v>
      </c>
      <c r="C55" s="350" t="s">
        <v>21</v>
      </c>
      <c r="D55" s="456">
        <f>2/20</f>
        <v>0.1</v>
      </c>
      <c r="E55" s="351">
        <f>K48</f>
        <v>701.99766</v>
      </c>
      <c r="F55" s="370">
        <f>D55*E55</f>
        <v>70.199765999999997</v>
      </c>
      <c r="G55" s="362"/>
      <c r="H55" s="348" t="s">
        <v>270</v>
      </c>
      <c r="I55" s="342">
        <v>428.57</v>
      </c>
      <c r="J55" s="309">
        <v>1.6379999999999999</v>
      </c>
      <c r="K55" s="349">
        <f>(I55*J55)</f>
        <v>701.99766</v>
      </c>
    </row>
    <row r="56" spans="1:11" ht="15" customHeight="1">
      <c r="A56" s="885" t="s">
        <v>79</v>
      </c>
      <c r="B56" s="886"/>
      <c r="C56" s="886"/>
      <c r="D56" s="886"/>
      <c r="E56" s="887"/>
      <c r="F56" s="371">
        <f>SUM(F53:F55)</f>
        <v>1160.5378059999998</v>
      </c>
      <c r="G56" s="170"/>
      <c r="H56" s="115"/>
      <c r="I56" s="115"/>
      <c r="J56" s="115"/>
      <c r="K56" s="115"/>
    </row>
    <row r="58" spans="1:11" ht="15" customHeight="1">
      <c r="A58" s="363" t="s">
        <v>1016</v>
      </c>
      <c r="B58" s="883" t="s">
        <v>1017</v>
      </c>
      <c r="C58" s="884"/>
      <c r="D58" s="884"/>
      <c r="E58" s="884"/>
      <c r="F58" s="364" t="s">
        <v>21</v>
      </c>
      <c r="G58" s="170"/>
      <c r="H58" s="63"/>
      <c r="I58" s="63"/>
      <c r="J58" s="63"/>
      <c r="K58" s="63"/>
    </row>
    <row r="59" spans="1:11" ht="15" customHeight="1">
      <c r="A59" s="355" t="s">
        <v>257</v>
      </c>
      <c r="B59" s="86" t="s">
        <v>258</v>
      </c>
      <c r="C59" s="86" t="s">
        <v>259</v>
      </c>
      <c r="D59" s="86" t="s">
        <v>260</v>
      </c>
      <c r="E59" s="86" t="s">
        <v>261</v>
      </c>
      <c r="F59" s="356" t="s">
        <v>262</v>
      </c>
      <c r="G59" s="362"/>
      <c r="H59" s="85" t="s">
        <v>263</v>
      </c>
      <c r="I59" s="86" t="s">
        <v>264</v>
      </c>
      <c r="J59" s="86" t="s">
        <v>265</v>
      </c>
      <c r="K59" s="87" t="s">
        <v>261</v>
      </c>
    </row>
    <row r="60" spans="1:11" ht="15" customHeight="1">
      <c r="A60" s="365"/>
      <c r="B60" s="281"/>
      <c r="C60" s="281"/>
      <c r="D60" s="334"/>
      <c r="E60" s="336"/>
      <c r="F60" s="366">
        <f>D60*E60</f>
        <v>0</v>
      </c>
      <c r="G60" s="362"/>
      <c r="H60" s="467"/>
      <c r="I60" s="336"/>
      <c r="J60" s="334"/>
      <c r="K60" s="346">
        <f>(I60*J60)</f>
        <v>0</v>
      </c>
    </row>
    <row r="61" spans="1:11" ht="15" customHeight="1">
      <c r="A61" s="367">
        <v>1002</v>
      </c>
      <c r="B61" s="285" t="s">
        <v>280</v>
      </c>
      <c r="C61" s="285" t="s">
        <v>21</v>
      </c>
      <c r="D61" s="292">
        <v>1</v>
      </c>
      <c r="E61" s="339">
        <f>K54</f>
        <v>433.53803999999997</v>
      </c>
      <c r="F61" s="368">
        <f>D61*E61</f>
        <v>433.53803999999997</v>
      </c>
      <c r="G61" s="362"/>
      <c r="H61" s="468" t="s">
        <v>1018</v>
      </c>
      <c r="I61" s="339">
        <v>257.14</v>
      </c>
      <c r="J61" s="292">
        <v>1.6859999999999999</v>
      </c>
      <c r="K61" s="318">
        <f>(I61*J61)</f>
        <v>433.53803999999997</v>
      </c>
    </row>
    <row r="62" spans="1:11" ht="15" customHeight="1">
      <c r="A62" s="369">
        <v>1003</v>
      </c>
      <c r="B62" s="350" t="s">
        <v>276</v>
      </c>
      <c r="C62" s="350" t="s">
        <v>21</v>
      </c>
      <c r="D62" s="456">
        <f>1/20</f>
        <v>0.05</v>
      </c>
      <c r="E62" s="351">
        <f>K62</f>
        <v>701.99766</v>
      </c>
      <c r="F62" s="370">
        <f>D62*E62</f>
        <v>35.099882999999998</v>
      </c>
      <c r="G62" s="362"/>
      <c r="H62" s="348" t="s">
        <v>270</v>
      </c>
      <c r="I62" s="342">
        <v>428.57</v>
      </c>
      <c r="J62" s="309">
        <v>1.6379999999999999</v>
      </c>
      <c r="K62" s="349">
        <f>(I62*J62)</f>
        <v>701.99766</v>
      </c>
    </row>
    <row r="63" spans="1:11" ht="15" customHeight="1">
      <c r="A63" s="885" t="s">
        <v>79</v>
      </c>
      <c r="B63" s="886"/>
      <c r="C63" s="886"/>
      <c r="D63" s="886"/>
      <c r="E63" s="887"/>
      <c r="F63" s="371">
        <f>SUM(F60:F62)</f>
        <v>468.63792299999994</v>
      </c>
      <c r="G63" s="170"/>
      <c r="H63" s="115"/>
      <c r="I63" s="115"/>
      <c r="J63" s="115"/>
      <c r="K63" s="115"/>
    </row>
    <row r="65" spans="1:256" ht="15" customHeight="1">
      <c r="A65" s="363" t="s">
        <v>1084</v>
      </c>
      <c r="B65" s="883" t="s">
        <v>1100</v>
      </c>
      <c r="C65" s="884"/>
      <c r="D65" s="884"/>
      <c r="E65" s="884"/>
      <c r="F65" s="364" t="s">
        <v>21</v>
      </c>
      <c r="G65" s="170"/>
      <c r="H65" s="63"/>
      <c r="I65" s="63"/>
      <c r="J65" s="63"/>
      <c r="K65" s="63"/>
    </row>
    <row r="66" spans="1:256" ht="15" customHeight="1">
      <c r="A66" s="355" t="s">
        <v>257</v>
      </c>
      <c r="B66" s="86" t="s">
        <v>258</v>
      </c>
      <c r="C66" s="86" t="s">
        <v>259</v>
      </c>
      <c r="D66" s="86" t="s">
        <v>260</v>
      </c>
      <c r="E66" s="86" t="s">
        <v>261</v>
      </c>
      <c r="F66" s="356" t="s">
        <v>262</v>
      </c>
      <c r="G66" s="362"/>
      <c r="H66" s="85" t="s">
        <v>263</v>
      </c>
      <c r="I66" s="86" t="s">
        <v>264</v>
      </c>
      <c r="J66" s="86" t="s">
        <v>265</v>
      </c>
      <c r="K66" s="87" t="s">
        <v>261</v>
      </c>
    </row>
    <row r="67" spans="1:256" ht="15" customHeight="1">
      <c r="A67" s="365"/>
      <c r="B67" s="281"/>
      <c r="C67" s="281"/>
      <c r="D67" s="334"/>
      <c r="E67" s="336"/>
      <c r="F67" s="366">
        <f>D67*E67</f>
        <v>0</v>
      </c>
      <c r="G67" s="362"/>
      <c r="H67" s="467"/>
      <c r="I67" s="336"/>
      <c r="J67" s="334"/>
      <c r="K67" s="346">
        <f>(I67*J67)</f>
        <v>0</v>
      </c>
    </row>
    <row r="68" spans="1:256" ht="15" customHeight="1">
      <c r="A68" s="367">
        <v>1002</v>
      </c>
      <c r="B68" s="285" t="s">
        <v>280</v>
      </c>
      <c r="C68" s="285" t="s">
        <v>21</v>
      </c>
      <c r="D68" s="292">
        <v>2</v>
      </c>
      <c r="E68" s="339">
        <f>K61</f>
        <v>433.53803999999997</v>
      </c>
      <c r="F68" s="368">
        <f>D68*E68</f>
        <v>867.07607999999993</v>
      </c>
      <c r="G68" s="362"/>
      <c r="H68" s="468" t="s">
        <v>1018</v>
      </c>
      <c r="I68" s="339">
        <v>257.14</v>
      </c>
      <c r="J68" s="292">
        <v>1.6859999999999999</v>
      </c>
      <c r="K68" s="318">
        <f>(I68*J68)</f>
        <v>433.53803999999997</v>
      </c>
    </row>
    <row r="69" spans="1:256" ht="15" customHeight="1">
      <c r="A69" s="369">
        <v>1003</v>
      </c>
      <c r="B69" s="350" t="s">
        <v>276</v>
      </c>
      <c r="C69" s="350" t="s">
        <v>21</v>
      </c>
      <c r="D69" s="456">
        <f>2/20</f>
        <v>0.1</v>
      </c>
      <c r="E69" s="351">
        <f>K69</f>
        <v>701.99766</v>
      </c>
      <c r="F69" s="370">
        <f>D69*E69</f>
        <v>70.199765999999997</v>
      </c>
      <c r="G69" s="362"/>
      <c r="H69" s="348" t="s">
        <v>270</v>
      </c>
      <c r="I69" s="342">
        <v>428.57</v>
      </c>
      <c r="J69" s="309">
        <v>1.6379999999999999</v>
      </c>
      <c r="K69" s="349">
        <f>(I69*J69)</f>
        <v>701.99766</v>
      </c>
    </row>
    <row r="70" spans="1:256" ht="15" customHeight="1">
      <c r="A70" s="885" t="s">
        <v>79</v>
      </c>
      <c r="B70" s="886"/>
      <c r="C70" s="886"/>
      <c r="D70" s="886"/>
      <c r="E70" s="887"/>
      <c r="F70" s="371">
        <f>SUM(F67:F69)</f>
        <v>937.27584599999989</v>
      </c>
      <c r="G70" s="170"/>
      <c r="H70" s="115"/>
      <c r="I70" s="115"/>
      <c r="J70" s="115"/>
      <c r="K70" s="115"/>
    </row>
    <row r="72" spans="1:256" ht="15" customHeight="1">
      <c r="A72" s="363" t="s">
        <v>1338</v>
      </c>
      <c r="B72" s="883" t="s">
        <v>1339</v>
      </c>
      <c r="C72" s="884"/>
      <c r="D72" s="884"/>
      <c r="E72" s="884"/>
      <c r="F72" s="364" t="s">
        <v>21</v>
      </c>
      <c r="G72" s="170"/>
      <c r="H72" s="63"/>
      <c r="I72" s="63"/>
      <c r="J72" s="63"/>
      <c r="K72" s="63"/>
      <c r="IL72"/>
      <c r="IM72"/>
      <c r="IN72"/>
      <c r="IO72"/>
      <c r="IP72"/>
      <c r="IQ72"/>
      <c r="IR72"/>
      <c r="IS72"/>
      <c r="IT72"/>
      <c r="IU72"/>
      <c r="IV72"/>
    </row>
    <row r="73" spans="1:256" ht="15" customHeight="1">
      <c r="A73" s="355" t="s">
        <v>257</v>
      </c>
      <c r="B73" s="86" t="s">
        <v>258</v>
      </c>
      <c r="C73" s="86" t="s">
        <v>259</v>
      </c>
      <c r="D73" s="86" t="s">
        <v>260</v>
      </c>
      <c r="E73" s="86" t="s">
        <v>261</v>
      </c>
      <c r="F73" s="356" t="s">
        <v>262</v>
      </c>
      <c r="G73" s="362"/>
      <c r="H73" s="85" t="s">
        <v>263</v>
      </c>
      <c r="I73" s="86" t="s">
        <v>264</v>
      </c>
      <c r="J73" s="86" t="s">
        <v>265</v>
      </c>
      <c r="K73" s="87" t="s">
        <v>261</v>
      </c>
      <c r="IL73"/>
      <c r="IM73"/>
      <c r="IN73"/>
      <c r="IO73"/>
      <c r="IP73"/>
      <c r="IQ73"/>
      <c r="IR73"/>
      <c r="IS73"/>
      <c r="IT73"/>
      <c r="IU73"/>
      <c r="IV73"/>
    </row>
    <row r="74" spans="1:256" ht="15" customHeight="1">
      <c r="A74" s="365">
        <v>1001</v>
      </c>
      <c r="B74" s="281" t="s">
        <v>1340</v>
      </c>
      <c r="C74" s="281" t="s">
        <v>21</v>
      </c>
      <c r="D74" s="334">
        <v>1</v>
      </c>
      <c r="E74" s="336">
        <f>K74</f>
        <v>656.8</v>
      </c>
      <c r="F74" s="366">
        <f>D74*E74</f>
        <v>656.8</v>
      </c>
      <c r="G74" s="362"/>
      <c r="H74" s="467" t="s">
        <v>1340</v>
      </c>
      <c r="I74" s="336">
        <v>400</v>
      </c>
      <c r="J74" s="334">
        <v>1.6419999999999999</v>
      </c>
      <c r="K74" s="346">
        <f>(I74*J74)</f>
        <v>656.8</v>
      </c>
      <c r="IL74"/>
      <c r="IM74"/>
      <c r="IN74"/>
      <c r="IO74"/>
      <c r="IP74"/>
      <c r="IQ74"/>
      <c r="IR74"/>
      <c r="IS74"/>
      <c r="IT74"/>
      <c r="IU74"/>
      <c r="IV74"/>
    </row>
    <row r="75" spans="1:256" ht="15" customHeight="1">
      <c r="A75" s="367">
        <v>1002</v>
      </c>
      <c r="B75" s="285" t="s">
        <v>280</v>
      </c>
      <c r="C75" s="285" t="s">
        <v>21</v>
      </c>
      <c r="D75" s="292">
        <v>1</v>
      </c>
      <c r="E75" s="339">
        <f>K68</f>
        <v>433.53803999999997</v>
      </c>
      <c r="F75" s="368">
        <f>D75*E75</f>
        <v>433.53803999999997</v>
      </c>
      <c r="G75" s="362"/>
      <c r="H75" s="468" t="s">
        <v>1018</v>
      </c>
      <c r="I75" s="339">
        <v>257.14</v>
      </c>
      <c r="J75" s="292">
        <v>1.6859999999999999</v>
      </c>
      <c r="K75" s="318">
        <f>(I75*J75)</f>
        <v>433.53803999999997</v>
      </c>
      <c r="IL75"/>
      <c r="IM75"/>
      <c r="IN75"/>
      <c r="IO75"/>
      <c r="IP75"/>
      <c r="IQ75"/>
      <c r="IR75"/>
      <c r="IS75"/>
      <c r="IT75"/>
      <c r="IU75"/>
      <c r="IV75"/>
    </row>
    <row r="76" spans="1:256" ht="15" customHeight="1">
      <c r="A76" s="369">
        <v>1003</v>
      </c>
      <c r="B76" s="350" t="s">
        <v>276</v>
      </c>
      <c r="C76" s="350" t="s">
        <v>21</v>
      </c>
      <c r="D76" s="456">
        <f>2/20</f>
        <v>0.1</v>
      </c>
      <c r="E76" s="351">
        <f>K76</f>
        <v>701.99766</v>
      </c>
      <c r="F76" s="370">
        <f>D76*E76</f>
        <v>70.199765999999997</v>
      </c>
      <c r="G76" s="362"/>
      <c r="H76" s="348" t="s">
        <v>270</v>
      </c>
      <c r="I76" s="342">
        <v>428.57</v>
      </c>
      <c r="J76" s="309">
        <v>1.6379999999999999</v>
      </c>
      <c r="K76" s="349">
        <f>(I76*J76)</f>
        <v>701.99766</v>
      </c>
      <c r="IL76"/>
      <c r="IM76"/>
      <c r="IN76"/>
      <c r="IO76"/>
      <c r="IP76"/>
      <c r="IQ76"/>
      <c r="IR76"/>
      <c r="IS76"/>
      <c r="IT76"/>
      <c r="IU76"/>
      <c r="IV76"/>
    </row>
    <row r="77" spans="1:256" ht="15" customHeight="1">
      <c r="A77" s="885" t="s">
        <v>79</v>
      </c>
      <c r="B77" s="886"/>
      <c r="C77" s="886"/>
      <c r="D77" s="886"/>
      <c r="E77" s="887"/>
      <c r="F77" s="371">
        <f>SUM(F74:F76)</f>
        <v>1160.5378059999998</v>
      </c>
      <c r="G77" s="170"/>
      <c r="H77" s="115"/>
      <c r="I77" s="115"/>
      <c r="J77" s="115"/>
      <c r="K77" s="115"/>
      <c r="IL77"/>
      <c r="IM77"/>
      <c r="IN77"/>
      <c r="IO77"/>
      <c r="IP77"/>
      <c r="IQ77"/>
      <c r="IR77"/>
      <c r="IS77"/>
      <c r="IT77"/>
      <c r="IU77"/>
      <c r="IV77"/>
    </row>
    <row r="79" spans="1:256" ht="15" customHeight="1">
      <c r="A79" s="363" t="s">
        <v>1344</v>
      </c>
      <c r="B79" s="883" t="s">
        <v>1341</v>
      </c>
      <c r="C79" s="884"/>
      <c r="D79" s="884"/>
      <c r="E79" s="884"/>
      <c r="F79" s="364" t="s">
        <v>21</v>
      </c>
      <c r="G79" s="170"/>
      <c r="H79" s="63"/>
      <c r="I79" s="63"/>
      <c r="J79" s="63"/>
      <c r="K79" s="63"/>
    </row>
    <row r="80" spans="1:256" ht="15" customHeight="1">
      <c r="A80" s="355" t="s">
        <v>257</v>
      </c>
      <c r="B80" s="86" t="s">
        <v>258</v>
      </c>
      <c r="C80" s="86" t="s">
        <v>259</v>
      </c>
      <c r="D80" s="86" t="s">
        <v>260</v>
      </c>
      <c r="E80" s="86" t="s">
        <v>261</v>
      </c>
      <c r="F80" s="356" t="s">
        <v>262</v>
      </c>
      <c r="G80" s="362"/>
      <c r="H80" s="85" t="s">
        <v>263</v>
      </c>
      <c r="I80" s="86" t="s">
        <v>264</v>
      </c>
      <c r="J80" s="86" t="s">
        <v>265</v>
      </c>
      <c r="K80" s="87" t="s">
        <v>261</v>
      </c>
    </row>
    <row r="81" spans="1:11" ht="15" customHeight="1">
      <c r="A81" s="365">
        <v>1001</v>
      </c>
      <c r="B81" s="281" t="s">
        <v>1340</v>
      </c>
      <c r="C81" s="281" t="s">
        <v>21</v>
      </c>
      <c r="D81" s="334">
        <v>1</v>
      </c>
      <c r="E81" s="336">
        <f>K81</f>
        <v>656.8</v>
      </c>
      <c r="F81" s="366">
        <f>D81*E81</f>
        <v>656.8</v>
      </c>
      <c r="G81" s="362"/>
      <c r="H81" s="467" t="s">
        <v>1342</v>
      </c>
      <c r="I81" s="336">
        <v>400</v>
      </c>
      <c r="J81" s="334">
        <v>1.6419999999999999</v>
      </c>
      <c r="K81" s="346">
        <f>(I81*J81)</f>
        <v>656.8</v>
      </c>
    </row>
    <row r="82" spans="1:11" ht="15" customHeight="1">
      <c r="A82" s="367">
        <v>1002</v>
      </c>
      <c r="B82" s="285" t="s">
        <v>280</v>
      </c>
      <c r="C82" s="285" t="s">
        <v>21</v>
      </c>
      <c r="D82" s="292">
        <v>1</v>
      </c>
      <c r="E82" s="339">
        <f>K75</f>
        <v>433.53803999999997</v>
      </c>
      <c r="F82" s="368">
        <f>D82*E82</f>
        <v>433.53803999999997</v>
      </c>
      <c r="G82" s="362"/>
      <c r="H82" s="468" t="s">
        <v>1018</v>
      </c>
      <c r="I82" s="339">
        <v>257.14</v>
      </c>
      <c r="J82" s="292">
        <v>1.6859999999999999</v>
      </c>
      <c r="K82" s="318">
        <f>(I82*J82)</f>
        <v>433.53803999999997</v>
      </c>
    </row>
    <row r="83" spans="1:11" ht="15" customHeight="1">
      <c r="A83" s="369">
        <v>1003</v>
      </c>
      <c r="B83" s="350" t="s">
        <v>276</v>
      </c>
      <c r="C83" s="350" t="s">
        <v>21</v>
      </c>
      <c r="D83" s="456">
        <f>2/20</f>
        <v>0.1</v>
      </c>
      <c r="E83" s="351">
        <f>K83</f>
        <v>701.99766</v>
      </c>
      <c r="F83" s="370">
        <f>D83*E83</f>
        <v>70.199765999999997</v>
      </c>
      <c r="G83" s="362"/>
      <c r="H83" s="348" t="s">
        <v>270</v>
      </c>
      <c r="I83" s="342">
        <v>428.57</v>
      </c>
      <c r="J83" s="309">
        <v>1.6379999999999999</v>
      </c>
      <c r="K83" s="349">
        <f>(I83*J83)</f>
        <v>701.99766</v>
      </c>
    </row>
    <row r="84" spans="1:11" ht="15" customHeight="1">
      <c r="A84" s="885" t="s">
        <v>79</v>
      </c>
      <c r="B84" s="886"/>
      <c r="C84" s="886"/>
      <c r="D84" s="886"/>
      <c r="E84" s="887"/>
      <c r="F84" s="371">
        <f>SUM(F81:F83)</f>
        <v>1160.5378059999998</v>
      </c>
      <c r="G84" s="170"/>
      <c r="H84" s="115"/>
      <c r="I84" s="115"/>
      <c r="J84" s="115"/>
      <c r="K84" s="115"/>
    </row>
  </sheetData>
  <mergeCells count="28">
    <mergeCell ref="B65:E65"/>
    <mergeCell ref="H1:K1"/>
    <mergeCell ref="A22:F22"/>
    <mergeCell ref="A21:E21"/>
    <mergeCell ref="A28:E28"/>
    <mergeCell ref="B37:E37"/>
    <mergeCell ref="A35:E35"/>
    <mergeCell ref="B16:E16"/>
    <mergeCell ref="A14:E14"/>
    <mergeCell ref="B9:E9"/>
    <mergeCell ref="A7:E7"/>
    <mergeCell ref="A1:F1"/>
    <mergeCell ref="B2:E2"/>
    <mergeCell ref="A15:F15"/>
    <mergeCell ref="A42:E42"/>
    <mergeCell ref="B30:E30"/>
    <mergeCell ref="B23:E23"/>
    <mergeCell ref="A49:E49"/>
    <mergeCell ref="A63:E63"/>
    <mergeCell ref="B44:E44"/>
    <mergeCell ref="B51:E51"/>
    <mergeCell ref="A56:E56"/>
    <mergeCell ref="B58:E58"/>
    <mergeCell ref="B72:E72"/>
    <mergeCell ref="A77:E77"/>
    <mergeCell ref="B79:E79"/>
    <mergeCell ref="A84:E84"/>
    <mergeCell ref="A70:E70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191"/>
  <sheetViews>
    <sheetView topLeftCell="A160" workbookViewId="0">
      <selection activeCell="C95" sqref="C95"/>
    </sheetView>
  </sheetViews>
  <sheetFormatPr defaultColWidth="10.88671875" defaultRowHeight="15" customHeight="1"/>
  <cols>
    <col min="1" max="1" width="17.44140625" style="184" customWidth="1"/>
    <col min="2" max="2" width="35.109375" style="184" customWidth="1"/>
    <col min="3" max="3" width="30.109375" style="184" customWidth="1"/>
    <col min="4" max="4" width="14" style="184" customWidth="1"/>
    <col min="5" max="256" width="10.88671875" style="184" customWidth="1"/>
  </cols>
  <sheetData>
    <row r="1" spans="1:5" ht="15" customHeight="1">
      <c r="A1" s="900" t="s">
        <v>743</v>
      </c>
      <c r="B1" s="901"/>
      <c r="C1" s="901"/>
      <c r="D1" s="901"/>
      <c r="E1" s="67"/>
    </row>
    <row r="2" spans="1:5" ht="15" customHeight="1">
      <c r="A2" s="66" t="s">
        <v>30</v>
      </c>
      <c r="B2" s="920" t="s">
        <v>744</v>
      </c>
      <c r="C2" s="921"/>
      <c r="D2" s="921"/>
      <c r="E2" s="67"/>
    </row>
    <row r="3" spans="1:5" ht="15" customHeight="1">
      <c r="A3" s="171" t="s">
        <v>745</v>
      </c>
      <c r="B3" s="179" t="s">
        <v>746</v>
      </c>
      <c r="C3" s="171" t="s">
        <v>747</v>
      </c>
      <c r="D3" s="171" t="s">
        <v>3</v>
      </c>
      <c r="E3" s="67"/>
    </row>
    <row r="4" spans="1:5" ht="15" customHeight="1">
      <c r="A4" s="910" t="s">
        <v>748</v>
      </c>
      <c r="B4" s="911"/>
      <c r="C4" s="911"/>
      <c r="D4" s="911"/>
      <c r="E4" s="67"/>
    </row>
    <row r="5" spans="1:5" ht="15" customHeight="1">
      <c r="A5" s="185" t="s">
        <v>749</v>
      </c>
      <c r="B5" s="71" t="s">
        <v>750</v>
      </c>
      <c r="C5" s="186">
        <v>650000</v>
      </c>
      <c r="D5" s="187"/>
      <c r="E5" s="67"/>
    </row>
    <row r="6" spans="1:5" ht="15" customHeight="1">
      <c r="A6" s="188" t="s">
        <v>751</v>
      </c>
      <c r="B6" s="75" t="s">
        <v>752</v>
      </c>
      <c r="C6" s="189">
        <v>14608.72</v>
      </c>
      <c r="D6" s="190"/>
      <c r="E6" s="67"/>
    </row>
    <row r="7" spans="1:5" ht="15" customHeight="1">
      <c r="A7" s="188" t="s">
        <v>753</v>
      </c>
      <c r="B7" s="75" t="s">
        <v>754</v>
      </c>
      <c r="C7" s="191">
        <v>2000</v>
      </c>
      <c r="D7" s="192" t="s">
        <v>755</v>
      </c>
      <c r="E7" s="67"/>
    </row>
    <row r="8" spans="1:5" ht="15" customHeight="1">
      <c r="A8" s="188" t="s">
        <v>756</v>
      </c>
      <c r="B8" s="75" t="s">
        <v>757</v>
      </c>
      <c r="C8" s="189">
        <f>C5-C6</f>
        <v>635391.28</v>
      </c>
      <c r="D8" s="190"/>
      <c r="E8" s="67"/>
    </row>
    <row r="9" spans="1:5" ht="15" customHeight="1">
      <c r="A9" s="188" t="s">
        <v>758</v>
      </c>
      <c r="B9" s="75" t="s">
        <v>759</v>
      </c>
      <c r="C9" s="189">
        <f>C8*0.1</f>
        <v>63539.128000000004</v>
      </c>
      <c r="D9" s="190"/>
      <c r="E9" s="67"/>
    </row>
    <row r="10" spans="1:5" ht="15" customHeight="1">
      <c r="A10" s="188" t="s">
        <v>760</v>
      </c>
      <c r="B10" s="75" t="s">
        <v>761</v>
      </c>
      <c r="C10" s="158">
        <v>0.75</v>
      </c>
      <c r="D10" s="192" t="s">
        <v>762</v>
      </c>
      <c r="E10" s="67"/>
    </row>
    <row r="11" spans="1:5" ht="15" customHeight="1">
      <c r="A11" s="188" t="s">
        <v>763</v>
      </c>
      <c r="B11" s="75" t="s">
        <v>764</v>
      </c>
      <c r="C11" s="193">
        <f>((8*0.75*5)+(5*0.75*1))*52</f>
        <v>1755</v>
      </c>
      <c r="D11" s="192" t="s">
        <v>755</v>
      </c>
      <c r="E11" s="67"/>
    </row>
    <row r="12" spans="1:5" ht="15" customHeight="1">
      <c r="A12" s="188" t="s">
        <v>765</v>
      </c>
      <c r="B12" s="75" t="s">
        <v>766</v>
      </c>
      <c r="C12" s="76">
        <v>0.24</v>
      </c>
      <c r="D12" s="190"/>
      <c r="E12" s="67"/>
    </row>
    <row r="13" spans="1:5" ht="15" customHeight="1">
      <c r="A13" s="194"/>
      <c r="B13" s="195" t="s">
        <v>767</v>
      </c>
      <c r="C13" s="158">
        <v>0.2</v>
      </c>
      <c r="D13" s="190"/>
      <c r="E13" s="67"/>
    </row>
    <row r="14" spans="1:5" ht="15" customHeight="1">
      <c r="A14" s="103" t="s">
        <v>768</v>
      </c>
      <c r="B14" s="196" t="s">
        <v>769</v>
      </c>
      <c r="C14" s="197">
        <v>3.0000000000000001E-3</v>
      </c>
      <c r="D14" s="190"/>
      <c r="E14" s="67"/>
    </row>
    <row r="15" spans="1:5" ht="15" customHeight="1">
      <c r="A15" s="63"/>
      <c r="B15" s="198" t="s">
        <v>767</v>
      </c>
      <c r="C15" s="199">
        <v>3.3999999999999998E-3</v>
      </c>
      <c r="D15" s="163"/>
      <c r="E15" s="67"/>
    </row>
    <row r="16" spans="1:5" ht="15" customHeight="1">
      <c r="A16" s="932" t="s">
        <v>770</v>
      </c>
      <c r="B16" s="933"/>
      <c r="C16" s="933"/>
      <c r="D16" s="933"/>
      <c r="E16" s="67"/>
    </row>
    <row r="17" spans="1:5" ht="15" customHeight="1">
      <c r="A17" s="185" t="s">
        <v>771</v>
      </c>
      <c r="B17" s="71" t="s">
        <v>772</v>
      </c>
      <c r="C17" s="200">
        <f>C11*8</f>
        <v>14040</v>
      </c>
      <c r="D17" s="201" t="s">
        <v>755</v>
      </c>
      <c r="E17" s="67"/>
    </row>
    <row r="18" spans="1:5" ht="15" customHeight="1">
      <c r="A18" s="202" t="s">
        <v>773</v>
      </c>
      <c r="B18" s="79" t="s">
        <v>774</v>
      </c>
      <c r="C18" s="80">
        <f>C22*C21</f>
        <v>142.5</v>
      </c>
      <c r="D18" s="203"/>
      <c r="E18" s="67"/>
    </row>
    <row r="19" spans="1:5" ht="15" customHeight="1">
      <c r="A19" s="930" t="s">
        <v>775</v>
      </c>
      <c r="B19" s="931"/>
      <c r="C19" s="931"/>
      <c r="D19" s="931"/>
      <c r="E19" s="67"/>
    </row>
    <row r="20" spans="1:5" ht="15" customHeight="1">
      <c r="A20" s="902" t="s">
        <v>776</v>
      </c>
      <c r="B20" s="903"/>
      <c r="C20" s="903"/>
      <c r="D20" s="904"/>
      <c r="E20" s="67"/>
    </row>
    <row r="21" spans="1:5" ht="15" customHeight="1">
      <c r="A21" s="204" t="s">
        <v>777</v>
      </c>
      <c r="B21" s="61"/>
      <c r="C21" s="76">
        <v>190</v>
      </c>
      <c r="D21" s="192" t="s">
        <v>778</v>
      </c>
      <c r="E21" s="67"/>
    </row>
    <row r="22" spans="1:5" ht="15" customHeight="1">
      <c r="A22" s="204" t="s">
        <v>760</v>
      </c>
      <c r="B22" s="75" t="s">
        <v>761</v>
      </c>
      <c r="C22" s="76">
        <v>0.75</v>
      </c>
      <c r="D22" s="192" t="s">
        <v>762</v>
      </c>
      <c r="E22" s="67"/>
    </row>
    <row r="23" spans="1:5" ht="15" customHeight="1">
      <c r="A23" s="912" t="s">
        <v>779</v>
      </c>
      <c r="B23" s="913"/>
      <c r="C23" s="913"/>
      <c r="D23" s="914"/>
      <c r="E23" s="67"/>
    </row>
    <row r="24" spans="1:5" ht="15" customHeight="1">
      <c r="A24" s="188" t="s">
        <v>780</v>
      </c>
      <c r="B24" s="75" t="s">
        <v>781</v>
      </c>
      <c r="C24" s="76">
        <v>0.8</v>
      </c>
      <c r="D24" s="192" t="s">
        <v>762</v>
      </c>
      <c r="E24" s="67"/>
    </row>
    <row r="25" spans="1:5" ht="15" customHeight="1">
      <c r="A25" s="188" t="s">
        <v>782</v>
      </c>
      <c r="B25" s="75" t="s">
        <v>783</v>
      </c>
      <c r="C25" s="76">
        <v>7.6999999999999999E-2</v>
      </c>
      <c r="D25" s="192" t="s">
        <v>762</v>
      </c>
      <c r="E25" s="67"/>
    </row>
    <row r="26" spans="1:5" ht="15" customHeight="1">
      <c r="A26" s="202" t="s">
        <v>784</v>
      </c>
      <c r="B26" s="79" t="s">
        <v>785</v>
      </c>
      <c r="C26" s="80">
        <v>0.04</v>
      </c>
      <c r="D26" s="205" t="s">
        <v>762</v>
      </c>
      <c r="E26" s="67"/>
    </row>
    <row r="27" spans="1:5" ht="15" customHeight="1">
      <c r="A27" s="84"/>
      <c r="B27" s="84"/>
      <c r="C27" s="84"/>
      <c r="D27" s="84"/>
      <c r="E27" s="61"/>
    </row>
    <row r="28" spans="1:5" ht="15" customHeight="1">
      <c r="A28" s="908" t="s">
        <v>786</v>
      </c>
      <c r="B28" s="909"/>
      <c r="C28" s="909"/>
      <c r="D28" s="909"/>
      <c r="E28" s="67"/>
    </row>
    <row r="29" spans="1:5" ht="15" customHeight="1">
      <c r="A29" s="185" t="s">
        <v>787</v>
      </c>
      <c r="B29" s="206" t="s">
        <v>788</v>
      </c>
      <c r="C29" s="186">
        <f>(C8-C9)/C17</f>
        <v>40.73021025641026</v>
      </c>
      <c r="D29" s="207"/>
      <c r="E29" s="67"/>
    </row>
    <row r="30" spans="1:5" ht="15" customHeight="1">
      <c r="A30" s="188" t="s">
        <v>789</v>
      </c>
      <c r="B30" s="196" t="s">
        <v>790</v>
      </c>
      <c r="C30" s="189">
        <f>((C8+C9)/(2*(C11))*C25)</f>
        <v>15.332661372079773</v>
      </c>
      <c r="D30" s="168"/>
      <c r="E30" s="67"/>
    </row>
    <row r="31" spans="1:5" ht="15" customHeight="1">
      <c r="A31" s="188" t="s">
        <v>791</v>
      </c>
      <c r="B31" s="196" t="s">
        <v>792</v>
      </c>
      <c r="C31" s="189">
        <f>((C8-C9)/(2*C11))*C26</f>
        <v>6.5168336410256416</v>
      </c>
      <c r="D31" s="168"/>
      <c r="E31" s="67"/>
    </row>
    <row r="32" spans="1:5" ht="15" customHeight="1">
      <c r="A32" s="202" t="s">
        <v>793</v>
      </c>
      <c r="B32" s="208" t="s">
        <v>794</v>
      </c>
      <c r="C32" s="209">
        <f>C24*C29</f>
        <v>32.584168205128208</v>
      </c>
      <c r="D32" s="163"/>
      <c r="E32" s="67"/>
    </row>
    <row r="33" spans="1:5" ht="15" customHeight="1">
      <c r="A33" s="873" t="s">
        <v>795</v>
      </c>
      <c r="B33" s="927"/>
      <c r="C33" s="210">
        <f>SUM(C29:C32)</f>
        <v>95.163873474643879</v>
      </c>
      <c r="D33" s="211"/>
      <c r="E33" s="212"/>
    </row>
    <row r="34" spans="1:5" ht="15" customHeight="1">
      <c r="A34" s="915" t="s">
        <v>796</v>
      </c>
      <c r="B34" s="916"/>
      <c r="C34" s="916"/>
      <c r="D34" s="917"/>
      <c r="E34" s="67"/>
    </row>
    <row r="35" spans="1:5" ht="15" customHeight="1">
      <c r="A35" s="185" t="s">
        <v>797</v>
      </c>
      <c r="B35" s="206" t="s">
        <v>798</v>
      </c>
      <c r="C35" s="186">
        <f>D36*D37</f>
        <v>529.245</v>
      </c>
      <c r="D35" s="213"/>
      <c r="E35" s="212"/>
    </row>
    <row r="36" spans="1:5" ht="15" customHeight="1">
      <c r="A36" s="67"/>
      <c r="B36" s="195" t="s">
        <v>799</v>
      </c>
      <c r="C36" s="61"/>
      <c r="D36" s="214">
        <f>C13*C18</f>
        <v>28.5</v>
      </c>
      <c r="E36" s="67"/>
    </row>
    <row r="37" spans="1:5" ht="15" customHeight="1">
      <c r="A37" s="67"/>
      <c r="B37" s="195" t="s">
        <v>800</v>
      </c>
      <c r="C37" s="61"/>
      <c r="D37" s="214">
        <f>MATERIALES!E17</f>
        <v>18.57</v>
      </c>
      <c r="E37" s="67"/>
    </row>
    <row r="38" spans="1:5" ht="15" customHeight="1">
      <c r="A38" s="188" t="s">
        <v>801</v>
      </c>
      <c r="B38" s="196" t="s">
        <v>802</v>
      </c>
      <c r="C38" s="189">
        <f>((C15*C18)+(D39/D40))*MATERIALES!E183</f>
        <v>282.06173333333334</v>
      </c>
      <c r="D38" s="168"/>
      <c r="E38" s="67"/>
    </row>
    <row r="39" spans="1:5" ht="15" customHeight="1">
      <c r="A39" s="67"/>
      <c r="B39" s="195" t="s">
        <v>803</v>
      </c>
      <c r="C39" s="61"/>
      <c r="D39" s="157">
        <v>17</v>
      </c>
      <c r="E39" s="67"/>
    </row>
    <row r="40" spans="1:5" ht="15" customHeight="1">
      <c r="A40" s="67"/>
      <c r="B40" s="195" t="s">
        <v>804</v>
      </c>
      <c r="C40" s="61"/>
      <c r="D40" s="157">
        <f>45*4</f>
        <v>180</v>
      </c>
      <c r="E40" s="67"/>
    </row>
    <row r="41" spans="1:5" ht="15" customHeight="1">
      <c r="A41" s="202" t="s">
        <v>805</v>
      </c>
      <c r="B41" s="208" t="s">
        <v>806</v>
      </c>
      <c r="C41" s="209">
        <f>C6/C7</f>
        <v>7.30436</v>
      </c>
      <c r="D41" s="163"/>
      <c r="E41" s="67"/>
    </row>
    <row r="42" spans="1:5" ht="15" customHeight="1">
      <c r="A42" s="925" t="s">
        <v>807</v>
      </c>
      <c r="B42" s="926"/>
      <c r="C42" s="215">
        <f>SUM(C41+C38)+C35</f>
        <v>818.61109333333332</v>
      </c>
      <c r="D42" s="216"/>
      <c r="E42" s="67"/>
    </row>
    <row r="43" spans="1:5" ht="15" customHeight="1">
      <c r="A43" s="905" t="s">
        <v>808</v>
      </c>
      <c r="B43" s="906"/>
      <c r="C43" s="906"/>
      <c r="D43" s="907"/>
      <c r="E43" s="67"/>
    </row>
    <row r="44" spans="1:5" ht="15" customHeight="1">
      <c r="A44" s="65" t="s">
        <v>809</v>
      </c>
      <c r="B44" s="217" t="s">
        <v>810</v>
      </c>
      <c r="C44" s="218">
        <f t="shared" ref="C44:C140" si="0">450.16/8</f>
        <v>56.27</v>
      </c>
      <c r="D44" s="219"/>
      <c r="E44" s="67"/>
    </row>
    <row r="45" spans="1:5" ht="15" customHeight="1">
      <c r="A45" s="220"/>
      <c r="B45" s="221" t="s">
        <v>811</v>
      </c>
      <c r="C45" s="222">
        <f>SUM(C44)</f>
        <v>56.27</v>
      </c>
      <c r="D45" s="223"/>
      <c r="E45" s="67"/>
    </row>
    <row r="46" spans="1:5" ht="15" customHeight="1">
      <c r="A46" s="224"/>
      <c r="B46" s="84"/>
      <c r="C46" s="84"/>
      <c r="D46" s="219"/>
      <c r="E46" s="67"/>
    </row>
    <row r="47" spans="1:5" ht="15" customHeight="1">
      <c r="A47" s="928" t="s">
        <v>812</v>
      </c>
      <c r="B47" s="929"/>
      <c r="C47" s="225">
        <f>C45+C42+C33</f>
        <v>970.04496680797718</v>
      </c>
      <c r="D47" s="226"/>
      <c r="E47" s="101" t="s">
        <v>813</v>
      </c>
    </row>
    <row r="48" spans="1:5" ht="15" customHeight="1">
      <c r="A48" s="84"/>
      <c r="B48" s="84"/>
      <c r="C48" s="84"/>
      <c r="D48" s="84"/>
      <c r="E48" s="61"/>
    </row>
    <row r="49" spans="1:5" ht="15" customHeight="1">
      <c r="A49" s="900" t="s">
        <v>743</v>
      </c>
      <c r="B49" s="901"/>
      <c r="C49" s="901"/>
      <c r="D49" s="901"/>
      <c r="E49" s="67"/>
    </row>
    <row r="50" spans="1:5" ht="28.5" customHeight="1">
      <c r="A50" s="277" t="s">
        <v>32</v>
      </c>
      <c r="B50" s="939" t="s">
        <v>814</v>
      </c>
      <c r="C50" s="940"/>
      <c r="D50" s="940"/>
      <c r="E50" s="67"/>
    </row>
    <row r="51" spans="1:5" ht="15" customHeight="1">
      <c r="A51" s="278" t="s">
        <v>745</v>
      </c>
      <c r="B51" s="279" t="s">
        <v>746</v>
      </c>
      <c r="C51" s="278" t="s">
        <v>747</v>
      </c>
      <c r="D51" s="278" t="s">
        <v>3</v>
      </c>
      <c r="E51" s="67"/>
    </row>
    <row r="52" spans="1:5" ht="15" customHeight="1">
      <c r="A52" s="910" t="s">
        <v>748</v>
      </c>
      <c r="B52" s="911"/>
      <c r="C52" s="911"/>
      <c r="D52" s="911"/>
      <c r="E52" s="67"/>
    </row>
    <row r="53" spans="1:5" ht="15" customHeight="1">
      <c r="A53" s="280" t="s">
        <v>749</v>
      </c>
      <c r="B53" s="281" t="s">
        <v>750</v>
      </c>
      <c r="C53" s="282">
        <v>7800.48</v>
      </c>
      <c r="D53" s="283"/>
      <c r="E53" s="67"/>
    </row>
    <row r="54" spans="1:5" ht="15" customHeight="1">
      <c r="A54" s="284" t="s">
        <v>751</v>
      </c>
      <c r="B54" s="285" t="s">
        <v>752</v>
      </c>
      <c r="C54" s="286">
        <v>0</v>
      </c>
      <c r="D54" s="287"/>
      <c r="E54" s="67"/>
    </row>
    <row r="55" spans="1:5" ht="15" customHeight="1">
      <c r="A55" s="284" t="s">
        <v>753</v>
      </c>
      <c r="B55" s="285" t="s">
        <v>754</v>
      </c>
      <c r="C55" s="288"/>
      <c r="D55" s="289" t="s">
        <v>755</v>
      </c>
      <c r="E55" s="67"/>
    </row>
    <row r="56" spans="1:5" ht="15" customHeight="1">
      <c r="A56" s="284" t="s">
        <v>756</v>
      </c>
      <c r="B56" s="285" t="s">
        <v>757</v>
      </c>
      <c r="C56" s="286">
        <f>C53-C54</f>
        <v>7800.48</v>
      </c>
      <c r="D56" s="287"/>
      <c r="E56" s="67"/>
    </row>
    <row r="57" spans="1:5" ht="15" customHeight="1">
      <c r="A57" s="284" t="s">
        <v>758</v>
      </c>
      <c r="B57" s="285" t="s">
        <v>759</v>
      </c>
      <c r="C57" s="286">
        <f>C56*0.1</f>
        <v>780.048</v>
      </c>
      <c r="D57" s="287"/>
      <c r="E57" s="67"/>
    </row>
    <row r="58" spans="1:5" ht="15" customHeight="1">
      <c r="A58" s="284" t="s">
        <v>760</v>
      </c>
      <c r="B58" s="285" t="s">
        <v>761</v>
      </c>
      <c r="C58" s="290">
        <v>0.75</v>
      </c>
      <c r="D58" s="289" t="s">
        <v>762</v>
      </c>
      <c r="E58" s="67"/>
    </row>
    <row r="59" spans="1:5" ht="15" customHeight="1">
      <c r="A59" s="284" t="s">
        <v>763</v>
      </c>
      <c r="B59" s="285" t="s">
        <v>764</v>
      </c>
      <c r="C59" s="291">
        <f>((4*0.75*5)+(2*0.75*1))*52</f>
        <v>858</v>
      </c>
      <c r="D59" s="289" t="s">
        <v>755</v>
      </c>
      <c r="E59" s="67"/>
    </row>
    <row r="60" spans="1:5" ht="15" customHeight="1">
      <c r="A60" s="284" t="s">
        <v>765</v>
      </c>
      <c r="B60" s="285" t="s">
        <v>766</v>
      </c>
      <c r="C60" s="292">
        <v>0.24</v>
      </c>
      <c r="D60" s="287"/>
      <c r="E60" s="67"/>
    </row>
    <row r="61" spans="1:5" ht="15" customHeight="1">
      <c r="A61" s="293"/>
      <c r="B61" s="294" t="s">
        <v>767</v>
      </c>
      <c r="C61" s="290">
        <v>0.2</v>
      </c>
      <c r="D61" s="287"/>
      <c r="E61" s="67"/>
    </row>
    <row r="62" spans="1:5" ht="15" customHeight="1">
      <c r="A62" s="295" t="s">
        <v>768</v>
      </c>
      <c r="B62" s="296" t="s">
        <v>769</v>
      </c>
      <c r="C62" s="297">
        <v>3.0000000000000001E-3</v>
      </c>
      <c r="D62" s="287"/>
      <c r="E62" s="67"/>
    </row>
    <row r="63" spans="1:5" ht="15" customHeight="1">
      <c r="A63" s="298"/>
      <c r="B63" s="299" t="s">
        <v>767</v>
      </c>
      <c r="C63" s="300">
        <v>3.3999999999999998E-3</v>
      </c>
      <c r="D63" s="301"/>
      <c r="E63" s="67"/>
    </row>
    <row r="64" spans="1:5" ht="15" customHeight="1">
      <c r="A64" s="932" t="s">
        <v>770</v>
      </c>
      <c r="B64" s="933"/>
      <c r="C64" s="933"/>
      <c r="D64" s="933"/>
      <c r="E64" s="67"/>
    </row>
    <row r="65" spans="1:5" ht="15" customHeight="1">
      <c r="A65" s="280" t="s">
        <v>771</v>
      </c>
      <c r="B65" s="281" t="s">
        <v>772</v>
      </c>
      <c r="C65" s="302">
        <f>C59*8</f>
        <v>6864</v>
      </c>
      <c r="D65" s="303" t="s">
        <v>755</v>
      </c>
      <c r="E65" s="67"/>
    </row>
    <row r="66" spans="1:5" ht="15" customHeight="1">
      <c r="A66" s="304" t="s">
        <v>773</v>
      </c>
      <c r="B66" s="305" t="s">
        <v>774</v>
      </c>
      <c r="C66" s="341">
        <f>C70*C69</f>
        <v>4.125</v>
      </c>
      <c r="D66" s="306"/>
      <c r="E66" s="67"/>
    </row>
    <row r="67" spans="1:5" ht="15" customHeight="1">
      <c r="A67" s="930" t="s">
        <v>775</v>
      </c>
      <c r="B67" s="931"/>
      <c r="C67" s="931"/>
      <c r="D67" s="931"/>
      <c r="E67" s="67"/>
    </row>
    <row r="68" spans="1:5" ht="15" customHeight="1">
      <c r="A68" s="922" t="s">
        <v>776</v>
      </c>
      <c r="B68" s="923"/>
      <c r="C68" s="923"/>
      <c r="D68" s="924"/>
      <c r="E68" s="67"/>
    </row>
    <row r="69" spans="1:5" ht="15" customHeight="1">
      <c r="A69" s="307" t="s">
        <v>777</v>
      </c>
      <c r="B69" s="308"/>
      <c r="C69" s="292">
        <v>5.5</v>
      </c>
      <c r="D69" s="289" t="s">
        <v>778</v>
      </c>
      <c r="E69" s="67"/>
    </row>
    <row r="70" spans="1:5" ht="15" customHeight="1">
      <c r="A70" s="307" t="s">
        <v>760</v>
      </c>
      <c r="B70" s="285" t="s">
        <v>761</v>
      </c>
      <c r="C70" s="292">
        <v>0.75</v>
      </c>
      <c r="D70" s="289" t="s">
        <v>762</v>
      </c>
      <c r="E70" s="67"/>
    </row>
    <row r="71" spans="1:5" ht="15" customHeight="1">
      <c r="A71" s="934" t="s">
        <v>779</v>
      </c>
      <c r="B71" s="935"/>
      <c r="C71" s="935"/>
      <c r="D71" s="936"/>
      <c r="E71" s="67"/>
    </row>
    <row r="72" spans="1:5" ht="15" customHeight="1">
      <c r="A72" s="284" t="s">
        <v>780</v>
      </c>
      <c r="B72" s="285" t="s">
        <v>781</v>
      </c>
      <c r="C72" s="292">
        <v>0.8</v>
      </c>
      <c r="D72" s="289" t="s">
        <v>762</v>
      </c>
      <c r="E72" s="67"/>
    </row>
    <row r="73" spans="1:5" ht="15" customHeight="1">
      <c r="A73" s="284" t="s">
        <v>782</v>
      </c>
      <c r="B73" s="285" t="s">
        <v>783</v>
      </c>
      <c r="C73" s="292">
        <v>7.6999999999999999E-2</v>
      </c>
      <c r="D73" s="289" t="s">
        <v>762</v>
      </c>
      <c r="E73" s="67"/>
    </row>
    <row r="74" spans="1:5" ht="15" customHeight="1">
      <c r="A74" s="304" t="s">
        <v>784</v>
      </c>
      <c r="B74" s="305" t="s">
        <v>785</v>
      </c>
      <c r="C74" s="309">
        <v>0.04</v>
      </c>
      <c r="D74" s="310" t="s">
        <v>762</v>
      </c>
      <c r="E74" s="67"/>
    </row>
    <row r="75" spans="1:5" ht="15" customHeight="1">
      <c r="A75" s="311"/>
      <c r="B75" s="311"/>
      <c r="C75" s="311"/>
      <c r="D75" s="311"/>
      <c r="E75" s="61"/>
    </row>
    <row r="76" spans="1:5" ht="15" customHeight="1">
      <c r="A76" s="908" t="s">
        <v>786</v>
      </c>
      <c r="B76" s="909"/>
      <c r="C76" s="909"/>
      <c r="D76" s="909"/>
      <c r="E76" s="67"/>
    </row>
    <row r="77" spans="1:5" ht="15" customHeight="1">
      <c r="A77" s="280" t="s">
        <v>787</v>
      </c>
      <c r="B77" s="312" t="s">
        <v>788</v>
      </c>
      <c r="C77" s="282">
        <f>(C56-C57)/C65</f>
        <v>1.0227902097902097</v>
      </c>
      <c r="D77" s="313"/>
      <c r="E77" s="67"/>
    </row>
    <row r="78" spans="1:5" ht="15" customHeight="1">
      <c r="A78" s="284" t="s">
        <v>789</v>
      </c>
      <c r="B78" s="296" t="s">
        <v>790</v>
      </c>
      <c r="C78" s="286">
        <f>((C56+C57)/(2*(C59))*C73)</f>
        <v>0.38502369230769229</v>
      </c>
      <c r="D78" s="314"/>
      <c r="E78" s="67"/>
    </row>
    <row r="79" spans="1:5" ht="15" customHeight="1">
      <c r="A79" s="284" t="s">
        <v>791</v>
      </c>
      <c r="B79" s="296" t="s">
        <v>792</v>
      </c>
      <c r="C79" s="286">
        <f>((C56-C57)/(2*C59))*C74</f>
        <v>0.16364643356643357</v>
      </c>
      <c r="D79" s="314"/>
      <c r="E79" s="67"/>
    </row>
    <row r="80" spans="1:5" ht="15" customHeight="1">
      <c r="A80" s="304" t="s">
        <v>793</v>
      </c>
      <c r="B80" s="315" t="s">
        <v>794</v>
      </c>
      <c r="C80" s="325">
        <f>C72*C77</f>
        <v>0.81823216783216779</v>
      </c>
      <c r="D80" s="301"/>
      <c r="E80" s="67"/>
    </row>
    <row r="81" spans="1:5" ht="15" customHeight="1">
      <c r="A81" s="941" t="s">
        <v>795</v>
      </c>
      <c r="B81" s="874"/>
      <c r="C81" s="326">
        <f>SUM(C77:C80)</f>
        <v>2.3896925034965033</v>
      </c>
      <c r="D81" s="324"/>
      <c r="E81" s="67"/>
    </row>
    <row r="82" spans="1:5" ht="15" customHeight="1">
      <c r="A82" s="915" t="s">
        <v>796</v>
      </c>
      <c r="B82" s="916"/>
      <c r="C82" s="916"/>
      <c r="D82" s="917"/>
      <c r="E82" s="67"/>
    </row>
    <row r="83" spans="1:5" ht="15" customHeight="1">
      <c r="A83" s="280" t="s">
        <v>797</v>
      </c>
      <c r="B83" s="312" t="s">
        <v>798</v>
      </c>
      <c r="C83" s="282">
        <f>D84*D85</f>
        <v>18.948599999999999</v>
      </c>
      <c r="D83" s="316"/>
      <c r="E83" s="67"/>
    </row>
    <row r="84" spans="1:5" ht="15" customHeight="1">
      <c r="A84" s="317"/>
      <c r="B84" s="294" t="s">
        <v>799</v>
      </c>
      <c r="C84" s="308"/>
      <c r="D84" s="318">
        <f>C60*C66</f>
        <v>0.99</v>
      </c>
      <c r="E84" s="67"/>
    </row>
    <row r="85" spans="1:5" ht="15" customHeight="1">
      <c r="A85" s="317"/>
      <c r="B85" s="294" t="s">
        <v>815</v>
      </c>
      <c r="C85" s="308"/>
      <c r="D85" s="318">
        <f>MATERIALES!E18</f>
        <v>19.14</v>
      </c>
      <c r="E85" s="67"/>
    </row>
    <row r="86" spans="1:5" ht="15" customHeight="1">
      <c r="A86" s="284" t="s">
        <v>801</v>
      </c>
      <c r="B86" s="296" t="s">
        <v>802</v>
      </c>
      <c r="C86" s="286">
        <f>((C62*C66)+(D87/D88))*MATERIALES!E18</f>
        <v>0.45435750000000003</v>
      </c>
      <c r="D86" s="314"/>
      <c r="E86" s="67"/>
    </row>
    <row r="87" spans="1:5" ht="15" customHeight="1">
      <c r="A87" s="317"/>
      <c r="B87" s="294" t="s">
        <v>803</v>
      </c>
      <c r="C87" s="308"/>
      <c r="D87" s="319">
        <v>2</v>
      </c>
      <c r="E87" s="67"/>
    </row>
    <row r="88" spans="1:5" ht="15" customHeight="1">
      <c r="A88" s="317"/>
      <c r="B88" s="294" t="s">
        <v>804</v>
      </c>
      <c r="C88" s="308"/>
      <c r="D88" s="319">
        <f>88*2</f>
        <v>176</v>
      </c>
      <c r="E88" s="67"/>
    </row>
    <row r="89" spans="1:5" ht="15" customHeight="1">
      <c r="A89" s="304" t="s">
        <v>805</v>
      </c>
      <c r="B89" s="315" t="s">
        <v>806</v>
      </c>
      <c r="C89" s="299" t="s">
        <v>816</v>
      </c>
      <c r="D89" s="301"/>
      <c r="E89" s="67"/>
    </row>
    <row r="90" spans="1:5" ht="15" customHeight="1">
      <c r="A90" s="215"/>
      <c r="B90" s="327" t="s">
        <v>807</v>
      </c>
      <c r="C90" s="215">
        <f>SUM(C86+C83)</f>
        <v>19.402957499999999</v>
      </c>
      <c r="D90" s="215"/>
      <c r="E90" s="67"/>
    </row>
    <row r="91" spans="1:5" ht="15" customHeight="1">
      <c r="A91" s="905" t="s">
        <v>808</v>
      </c>
      <c r="B91" s="906"/>
      <c r="C91" s="906"/>
      <c r="D91" s="907"/>
      <c r="E91" s="67"/>
    </row>
    <row r="92" spans="1:5" ht="15" customHeight="1">
      <c r="A92" s="330" t="s">
        <v>809</v>
      </c>
      <c r="B92" s="328" t="s">
        <v>810</v>
      </c>
      <c r="C92" s="320">
        <f t="shared" si="0"/>
        <v>56.27</v>
      </c>
      <c r="D92" s="321"/>
      <c r="E92" s="67"/>
    </row>
    <row r="93" spans="1:5" ht="15" customHeight="1">
      <c r="A93" s="942" t="s">
        <v>811</v>
      </c>
      <c r="B93" s="942"/>
      <c r="C93" s="222">
        <f>SUM(C92)</f>
        <v>56.27</v>
      </c>
      <c r="D93" s="223"/>
      <c r="E93" s="67"/>
    </row>
    <row r="94" spans="1:5" ht="15" customHeight="1">
      <c r="A94" s="331"/>
      <c r="B94" s="329"/>
      <c r="C94" s="311"/>
      <c r="D94" s="321"/>
      <c r="E94" s="67"/>
    </row>
    <row r="95" spans="1:5" ht="15" customHeight="1">
      <c r="A95" s="928" t="s">
        <v>852</v>
      </c>
      <c r="B95" s="929"/>
      <c r="C95" s="323">
        <f>C93+C90+C81</f>
        <v>78.062650003496501</v>
      </c>
      <c r="D95" s="322"/>
      <c r="E95" s="67"/>
    </row>
    <row r="96" spans="1:5" ht="15" customHeight="1">
      <c r="A96" s="84"/>
      <c r="B96" s="84"/>
      <c r="C96" s="84"/>
      <c r="D96" s="84"/>
      <c r="E96" s="61"/>
    </row>
    <row r="97" spans="1:5" ht="15" customHeight="1">
      <c r="A97" s="900" t="s">
        <v>743</v>
      </c>
      <c r="B97" s="901"/>
      <c r="C97" s="901"/>
      <c r="D97" s="901"/>
      <c r="E97" s="67"/>
    </row>
    <row r="98" spans="1:5" ht="33" customHeight="1">
      <c r="A98" s="66" t="s">
        <v>817</v>
      </c>
      <c r="B98" s="918" t="s">
        <v>818</v>
      </c>
      <c r="C98" s="919"/>
      <c r="D98" s="919"/>
      <c r="E98" s="67"/>
    </row>
    <row r="99" spans="1:5" ht="15" customHeight="1">
      <c r="A99" s="171" t="s">
        <v>745</v>
      </c>
      <c r="B99" s="179" t="s">
        <v>746</v>
      </c>
      <c r="C99" s="171" t="s">
        <v>747</v>
      </c>
      <c r="D99" s="171" t="s">
        <v>3</v>
      </c>
      <c r="E99" s="67"/>
    </row>
    <row r="100" spans="1:5" ht="15" customHeight="1">
      <c r="A100" s="910" t="s">
        <v>748</v>
      </c>
      <c r="B100" s="911"/>
      <c r="C100" s="911"/>
      <c r="D100" s="911"/>
      <c r="E100" s="67"/>
    </row>
    <row r="101" spans="1:5" ht="15" customHeight="1">
      <c r="A101" s="185" t="s">
        <v>749</v>
      </c>
      <c r="B101" s="71" t="s">
        <v>750</v>
      </c>
      <c r="C101" s="186">
        <v>26506</v>
      </c>
      <c r="D101" s="187"/>
      <c r="E101" s="67"/>
    </row>
    <row r="102" spans="1:5" ht="15" customHeight="1">
      <c r="A102" s="188" t="s">
        <v>751</v>
      </c>
      <c r="B102" s="75" t="s">
        <v>752</v>
      </c>
      <c r="C102" s="189">
        <f>896.55*2</f>
        <v>1793.1</v>
      </c>
      <c r="D102" s="190"/>
      <c r="E102" s="67"/>
    </row>
    <row r="103" spans="1:5" ht="15" customHeight="1">
      <c r="A103" s="188" t="s">
        <v>753</v>
      </c>
      <c r="B103" s="75" t="s">
        <v>754</v>
      </c>
      <c r="C103" s="191">
        <v>8000</v>
      </c>
      <c r="D103" s="192" t="s">
        <v>755</v>
      </c>
      <c r="E103" s="67"/>
    </row>
    <row r="104" spans="1:5" ht="15" customHeight="1">
      <c r="A104" s="188" t="s">
        <v>756</v>
      </c>
      <c r="B104" s="75" t="s">
        <v>757</v>
      </c>
      <c r="C104" s="189">
        <f>C101-C102</f>
        <v>24712.9</v>
      </c>
      <c r="D104" s="190"/>
      <c r="E104" s="67"/>
    </row>
    <row r="105" spans="1:5" ht="15" customHeight="1">
      <c r="A105" s="188" t="s">
        <v>758</v>
      </c>
      <c r="B105" s="75" t="s">
        <v>759</v>
      </c>
      <c r="C105" s="189">
        <f>C104*0.2</f>
        <v>4942.5800000000008</v>
      </c>
      <c r="D105" s="190"/>
      <c r="E105" s="67"/>
    </row>
    <row r="106" spans="1:5" ht="15" customHeight="1">
      <c r="A106" s="188" t="s">
        <v>760</v>
      </c>
      <c r="B106" s="75" t="s">
        <v>761</v>
      </c>
      <c r="C106" s="158">
        <v>0.65</v>
      </c>
      <c r="D106" s="192" t="s">
        <v>762</v>
      </c>
      <c r="E106" s="67"/>
    </row>
    <row r="107" spans="1:5" ht="15" customHeight="1">
      <c r="A107" s="188" t="s">
        <v>763</v>
      </c>
      <c r="B107" s="75" t="s">
        <v>764</v>
      </c>
      <c r="C107" s="229">
        <f>((5.5*0.75*5)+(2*0.75*1))*52</f>
        <v>1150.5</v>
      </c>
      <c r="D107" s="192" t="s">
        <v>755</v>
      </c>
      <c r="E107" s="67"/>
    </row>
    <row r="108" spans="1:5" ht="15" customHeight="1">
      <c r="A108" s="188" t="s">
        <v>765</v>
      </c>
      <c r="B108" s="75" t="s">
        <v>766</v>
      </c>
      <c r="C108" s="76">
        <v>0.24</v>
      </c>
      <c r="D108" s="190"/>
      <c r="E108" s="67"/>
    </row>
    <row r="109" spans="1:5" ht="15" customHeight="1">
      <c r="A109" s="194"/>
      <c r="B109" s="195" t="s">
        <v>767</v>
      </c>
      <c r="C109" s="158">
        <v>0.2</v>
      </c>
      <c r="D109" s="190"/>
      <c r="E109" s="67"/>
    </row>
    <row r="110" spans="1:5" ht="15" customHeight="1">
      <c r="A110" s="103" t="s">
        <v>768</v>
      </c>
      <c r="B110" s="196" t="s">
        <v>769</v>
      </c>
      <c r="C110" s="197">
        <v>3.0000000000000001E-3</v>
      </c>
      <c r="D110" s="190"/>
      <c r="E110" s="67"/>
    </row>
    <row r="111" spans="1:5" ht="15" customHeight="1">
      <c r="A111" s="63"/>
      <c r="B111" s="198" t="s">
        <v>767</v>
      </c>
      <c r="C111" s="199">
        <v>3.3999999999999998E-3</v>
      </c>
      <c r="D111" s="163"/>
      <c r="E111" s="67"/>
    </row>
    <row r="112" spans="1:5" ht="15" customHeight="1">
      <c r="A112" s="932" t="s">
        <v>770</v>
      </c>
      <c r="B112" s="933"/>
      <c r="C112" s="933"/>
      <c r="D112" s="933"/>
      <c r="E112" s="67"/>
    </row>
    <row r="113" spans="1:5" ht="15" customHeight="1">
      <c r="A113" s="185" t="s">
        <v>771</v>
      </c>
      <c r="B113" s="71" t="s">
        <v>772</v>
      </c>
      <c r="C113" s="230">
        <f>C107*7</f>
        <v>8053.5</v>
      </c>
      <c r="D113" s="201" t="s">
        <v>755</v>
      </c>
      <c r="E113" s="67"/>
    </row>
    <row r="114" spans="1:5" ht="15" customHeight="1">
      <c r="A114" s="202" t="s">
        <v>773</v>
      </c>
      <c r="B114" s="79" t="s">
        <v>774</v>
      </c>
      <c r="C114" s="227">
        <f>C118*C117</f>
        <v>5.2</v>
      </c>
      <c r="D114" s="203"/>
      <c r="E114" s="67"/>
    </row>
    <row r="115" spans="1:5" ht="15" customHeight="1">
      <c r="A115" s="930" t="s">
        <v>775</v>
      </c>
      <c r="B115" s="931"/>
      <c r="C115" s="931"/>
      <c r="D115" s="931"/>
      <c r="E115" s="67"/>
    </row>
    <row r="116" spans="1:5" ht="15" customHeight="1">
      <c r="A116" s="902" t="s">
        <v>776</v>
      </c>
      <c r="B116" s="903"/>
      <c r="C116" s="903"/>
      <c r="D116" s="904"/>
      <c r="E116" s="67"/>
    </row>
    <row r="117" spans="1:5" ht="15" customHeight="1">
      <c r="A117" s="204" t="s">
        <v>777</v>
      </c>
      <c r="B117" s="61"/>
      <c r="C117" s="76">
        <v>8</v>
      </c>
      <c r="D117" s="192" t="s">
        <v>778</v>
      </c>
      <c r="E117" s="67"/>
    </row>
    <row r="118" spans="1:5" ht="15" customHeight="1">
      <c r="A118" s="204" t="s">
        <v>760</v>
      </c>
      <c r="B118" s="75" t="s">
        <v>761</v>
      </c>
      <c r="C118" s="76">
        <v>0.65</v>
      </c>
      <c r="D118" s="192" t="s">
        <v>762</v>
      </c>
      <c r="E118" s="67"/>
    </row>
    <row r="119" spans="1:5" ht="15" customHeight="1">
      <c r="A119" s="912" t="s">
        <v>779</v>
      </c>
      <c r="B119" s="913"/>
      <c r="C119" s="913"/>
      <c r="D119" s="914"/>
      <c r="E119" s="67"/>
    </row>
    <row r="120" spans="1:5" ht="15" customHeight="1">
      <c r="A120" s="188" t="s">
        <v>780</v>
      </c>
      <c r="B120" s="75" t="s">
        <v>781</v>
      </c>
      <c r="C120" s="76">
        <v>0.8</v>
      </c>
      <c r="D120" s="192" t="s">
        <v>762</v>
      </c>
      <c r="E120" s="67"/>
    </row>
    <row r="121" spans="1:5" ht="15" customHeight="1">
      <c r="A121" s="188" t="s">
        <v>782</v>
      </c>
      <c r="B121" s="75" t="s">
        <v>783</v>
      </c>
      <c r="C121" s="234">
        <v>8.1100000000000005E-2</v>
      </c>
      <c r="D121" s="192" t="s">
        <v>762</v>
      </c>
      <c r="E121" s="67"/>
    </row>
    <row r="122" spans="1:5" ht="15" customHeight="1">
      <c r="A122" s="202" t="s">
        <v>784</v>
      </c>
      <c r="B122" s="79" t="s">
        <v>785</v>
      </c>
      <c r="C122" s="80">
        <v>0.04</v>
      </c>
      <c r="D122" s="205" t="s">
        <v>762</v>
      </c>
      <c r="E122" s="67"/>
    </row>
    <row r="123" spans="1:5" ht="15" customHeight="1">
      <c r="A123" s="84"/>
      <c r="B123" s="84"/>
      <c r="C123" s="84"/>
      <c r="D123" s="84"/>
      <c r="E123" s="61"/>
    </row>
    <row r="124" spans="1:5" ht="15" customHeight="1">
      <c r="A124" s="908" t="s">
        <v>786</v>
      </c>
      <c r="B124" s="909"/>
      <c r="C124" s="909"/>
      <c r="D124" s="909"/>
      <c r="E124" s="67"/>
    </row>
    <row r="125" spans="1:5" ht="15" customHeight="1">
      <c r="A125" s="185" t="s">
        <v>787</v>
      </c>
      <c r="B125" s="206" t="s">
        <v>788</v>
      </c>
      <c r="C125" s="231">
        <f>(C104-C105)/C113</f>
        <v>2.4548730365679519</v>
      </c>
      <c r="D125" s="207"/>
      <c r="E125" s="67"/>
    </row>
    <row r="126" spans="1:5" ht="15" customHeight="1">
      <c r="A126" s="188" t="s">
        <v>789</v>
      </c>
      <c r="B126" s="196" t="s">
        <v>790</v>
      </c>
      <c r="C126" s="232">
        <f>(((C104+C105)/(2*(C107))*C121))</f>
        <v>1.0452235671447199</v>
      </c>
      <c r="D126" s="168"/>
      <c r="E126" s="67"/>
    </row>
    <row r="127" spans="1:5" ht="15" customHeight="1">
      <c r="A127" s="188" t="s">
        <v>791</v>
      </c>
      <c r="B127" s="196" t="s">
        <v>792</v>
      </c>
      <c r="C127" s="232">
        <f>((C104-C105)/(2*C107))*C122</f>
        <v>0.34368222511951324</v>
      </c>
      <c r="D127" s="168"/>
      <c r="E127" s="67"/>
    </row>
    <row r="128" spans="1:5" ht="15" customHeight="1">
      <c r="A128" s="202" t="s">
        <v>793</v>
      </c>
      <c r="B128" s="208" t="s">
        <v>794</v>
      </c>
      <c r="C128" s="233">
        <f>C120*C125</f>
        <v>1.9638984292543615</v>
      </c>
      <c r="D128" s="163"/>
      <c r="E128" s="67"/>
    </row>
    <row r="129" spans="1:5" ht="15" customHeight="1">
      <c r="A129" s="873" t="s">
        <v>795</v>
      </c>
      <c r="B129" s="927"/>
      <c r="C129" s="210">
        <f>SUM(C125:C128)</f>
        <v>5.8076772580865468</v>
      </c>
      <c r="D129" s="211"/>
      <c r="E129" s="67"/>
    </row>
    <row r="130" spans="1:5" ht="15" customHeight="1">
      <c r="A130" s="915" t="s">
        <v>796</v>
      </c>
      <c r="B130" s="916"/>
      <c r="C130" s="916"/>
      <c r="D130" s="917"/>
      <c r="E130" s="67"/>
    </row>
    <row r="131" spans="1:5" ht="15" customHeight="1">
      <c r="A131" s="185" t="s">
        <v>797</v>
      </c>
      <c r="B131" s="206" t="s">
        <v>798</v>
      </c>
      <c r="C131" s="186">
        <f>D132*D133</f>
        <v>23.88672</v>
      </c>
      <c r="D131" s="213"/>
      <c r="E131" s="67"/>
    </row>
    <row r="132" spans="1:5" ht="15" customHeight="1">
      <c r="A132" s="67"/>
      <c r="B132" s="195" t="s">
        <v>799</v>
      </c>
      <c r="C132" s="61"/>
      <c r="D132" s="78">
        <f>C108*C114</f>
        <v>1.248</v>
      </c>
      <c r="E132" s="67"/>
    </row>
    <row r="133" spans="1:5" ht="15" customHeight="1">
      <c r="A133" s="67"/>
      <c r="B133" s="195" t="s">
        <v>815</v>
      </c>
      <c r="C133" s="61"/>
      <c r="D133" s="78">
        <f>MATERIALES!E18</f>
        <v>19.14</v>
      </c>
      <c r="E133" s="67"/>
    </row>
    <row r="134" spans="1:5" ht="15" customHeight="1">
      <c r="A134" s="188" t="s">
        <v>801</v>
      </c>
      <c r="B134" s="196" t="s">
        <v>802</v>
      </c>
      <c r="C134" s="189">
        <f>((C110*C114)+(D135/D136))*MATERIALES!E183</f>
        <v>13.793540338983052</v>
      </c>
      <c r="D134" s="168"/>
      <c r="E134" s="67"/>
    </row>
    <row r="135" spans="1:5" ht="15" customHeight="1">
      <c r="A135" s="67"/>
      <c r="B135" s="195" t="s">
        <v>803</v>
      </c>
      <c r="C135" s="61"/>
      <c r="D135" s="157">
        <v>3</v>
      </c>
      <c r="E135" s="67"/>
    </row>
    <row r="136" spans="1:5" ht="15" customHeight="1">
      <c r="A136" s="67"/>
      <c r="B136" s="195" t="s">
        <v>804</v>
      </c>
      <c r="C136" s="61"/>
      <c r="D136" s="157">
        <f>118*2</f>
        <v>236</v>
      </c>
      <c r="E136" s="67"/>
    </row>
    <row r="137" spans="1:5" ht="15" customHeight="1">
      <c r="A137" s="202" t="s">
        <v>805</v>
      </c>
      <c r="B137" s="208" t="s">
        <v>806</v>
      </c>
      <c r="C137" s="209">
        <f>C102/C103</f>
        <v>0.22413749999999999</v>
      </c>
      <c r="D137" s="163"/>
      <c r="E137" s="67"/>
    </row>
    <row r="138" spans="1:5" ht="15" customHeight="1">
      <c r="A138" s="925" t="s">
        <v>807</v>
      </c>
      <c r="B138" s="926"/>
      <c r="C138" s="215">
        <f>SUM(C134+C131+C137)</f>
        <v>37.904397838983051</v>
      </c>
      <c r="D138" s="216"/>
      <c r="E138" s="67"/>
    </row>
    <row r="139" spans="1:5" ht="15" customHeight="1">
      <c r="A139" s="905" t="s">
        <v>808</v>
      </c>
      <c r="B139" s="906"/>
      <c r="C139" s="906"/>
      <c r="D139" s="907"/>
      <c r="E139" s="67"/>
    </row>
    <row r="140" spans="1:5" ht="15" customHeight="1">
      <c r="A140" s="65" t="s">
        <v>809</v>
      </c>
      <c r="B140" s="217" t="s">
        <v>810</v>
      </c>
      <c r="C140" s="218">
        <f t="shared" si="0"/>
        <v>56.27</v>
      </c>
      <c r="D140" s="219"/>
      <c r="E140" s="67"/>
    </row>
    <row r="141" spans="1:5" ht="15" customHeight="1">
      <c r="A141" s="937" t="s">
        <v>811</v>
      </c>
      <c r="B141" s="938"/>
      <c r="C141" s="222">
        <f>SUM(C140)</f>
        <v>56.27</v>
      </c>
      <c r="D141" s="223"/>
      <c r="E141" s="67"/>
    </row>
    <row r="142" spans="1:5" ht="15" customHeight="1">
      <c r="A142" s="224"/>
      <c r="B142" s="84"/>
      <c r="C142" s="84"/>
      <c r="D142" s="219"/>
      <c r="E142" s="67"/>
    </row>
    <row r="143" spans="1:5" ht="15" customHeight="1">
      <c r="A143" s="928" t="s">
        <v>812</v>
      </c>
      <c r="B143" s="929"/>
      <c r="C143" s="225">
        <f>C141+C138+C129</f>
        <v>99.982075097069597</v>
      </c>
      <c r="D143" s="226"/>
      <c r="E143" s="67"/>
    </row>
    <row r="145" spans="1:4" ht="15" customHeight="1">
      <c r="A145" s="900" t="s">
        <v>743</v>
      </c>
      <c r="B145" s="901"/>
      <c r="C145" s="901"/>
      <c r="D145" s="901"/>
    </row>
    <row r="146" spans="1:4" ht="30" customHeight="1">
      <c r="A146" s="66" t="s">
        <v>1115</v>
      </c>
      <c r="B146" s="918" t="s">
        <v>1114</v>
      </c>
      <c r="C146" s="919"/>
      <c r="D146" s="919"/>
    </row>
    <row r="147" spans="1:4" ht="15" customHeight="1">
      <c r="A147" s="171" t="s">
        <v>745</v>
      </c>
      <c r="B147" s="179" t="s">
        <v>746</v>
      </c>
      <c r="C147" s="171" t="s">
        <v>747</v>
      </c>
      <c r="D147" s="171" t="s">
        <v>3</v>
      </c>
    </row>
    <row r="148" spans="1:4" ht="15" customHeight="1">
      <c r="A148" s="910" t="s">
        <v>748</v>
      </c>
      <c r="B148" s="911"/>
      <c r="C148" s="911"/>
      <c r="D148" s="911"/>
    </row>
    <row r="149" spans="1:4" ht="15" customHeight="1">
      <c r="A149" s="185" t="s">
        <v>749</v>
      </c>
      <c r="B149" s="71" t="s">
        <v>750</v>
      </c>
      <c r="C149" s="186">
        <v>28898</v>
      </c>
      <c r="D149" s="187"/>
    </row>
    <row r="150" spans="1:4" ht="15" customHeight="1">
      <c r="A150" s="188" t="s">
        <v>751</v>
      </c>
      <c r="B150" s="75" t="s">
        <v>752</v>
      </c>
      <c r="C150" s="189">
        <v>0</v>
      </c>
      <c r="D150" s="190"/>
    </row>
    <row r="151" spans="1:4" ht="15" customHeight="1">
      <c r="A151" s="188" t="s">
        <v>753</v>
      </c>
      <c r="B151" s="75" t="s">
        <v>754</v>
      </c>
      <c r="C151" s="191">
        <v>0</v>
      </c>
      <c r="D151" s="192" t="s">
        <v>755</v>
      </c>
    </row>
    <row r="152" spans="1:4" ht="15" customHeight="1">
      <c r="A152" s="188" t="s">
        <v>756</v>
      </c>
      <c r="B152" s="75" t="s">
        <v>757</v>
      </c>
      <c r="C152" s="189">
        <f>C149-C150</f>
        <v>28898</v>
      </c>
      <c r="D152" s="190"/>
    </row>
    <row r="153" spans="1:4" ht="15" customHeight="1">
      <c r="A153" s="188" t="s">
        <v>758</v>
      </c>
      <c r="B153" s="75" t="s">
        <v>759</v>
      </c>
      <c r="C153" s="189">
        <f>C152*0.1</f>
        <v>2889.8</v>
      </c>
      <c r="D153" s="190"/>
    </row>
    <row r="154" spans="1:4" ht="15" customHeight="1">
      <c r="A154" s="188" t="s">
        <v>760</v>
      </c>
      <c r="B154" s="75" t="s">
        <v>761</v>
      </c>
      <c r="C154" s="158">
        <v>0.75</v>
      </c>
      <c r="D154" s="192" t="s">
        <v>762</v>
      </c>
    </row>
    <row r="155" spans="1:4" ht="15" customHeight="1">
      <c r="A155" s="188" t="s">
        <v>763</v>
      </c>
      <c r="B155" s="75" t="s">
        <v>764</v>
      </c>
      <c r="C155" s="229">
        <f>((4*0.75*5)+(2*0.75*1))*52</f>
        <v>858</v>
      </c>
      <c r="D155" s="192" t="s">
        <v>755</v>
      </c>
    </row>
    <row r="156" spans="1:4" ht="15" customHeight="1">
      <c r="A156" s="188" t="s">
        <v>765</v>
      </c>
      <c r="B156" s="75" t="s">
        <v>766</v>
      </c>
      <c r="C156" s="76">
        <v>0.24</v>
      </c>
      <c r="D156" s="190"/>
    </row>
    <row r="157" spans="1:4" ht="15" customHeight="1">
      <c r="A157" s="194"/>
      <c r="B157" s="195" t="s">
        <v>767</v>
      </c>
      <c r="C157" s="158">
        <v>0.2</v>
      </c>
      <c r="D157" s="190"/>
    </row>
    <row r="158" spans="1:4" ht="15" customHeight="1">
      <c r="A158" s="103" t="s">
        <v>768</v>
      </c>
      <c r="B158" s="196" t="s">
        <v>1116</v>
      </c>
      <c r="C158" s="197">
        <v>3.0000000000000001E-3</v>
      </c>
      <c r="D158" s="190"/>
    </row>
    <row r="159" spans="1:4" ht="15" customHeight="1">
      <c r="A159" s="63"/>
      <c r="B159" s="198" t="s">
        <v>767</v>
      </c>
      <c r="C159" s="199">
        <v>3.3999999999999998E-3</v>
      </c>
      <c r="D159" s="163"/>
    </row>
    <row r="160" spans="1:4" ht="15" customHeight="1">
      <c r="A160" s="932" t="s">
        <v>770</v>
      </c>
      <c r="B160" s="933"/>
      <c r="C160" s="933"/>
      <c r="D160" s="933"/>
    </row>
    <row r="161" spans="1:4" ht="15" customHeight="1">
      <c r="A161" s="185" t="s">
        <v>771</v>
      </c>
      <c r="B161" s="71" t="s">
        <v>772</v>
      </c>
      <c r="C161" s="230">
        <f>C155*8</f>
        <v>6864</v>
      </c>
      <c r="D161" s="201" t="s">
        <v>755</v>
      </c>
    </row>
    <row r="162" spans="1:4" ht="15" customHeight="1">
      <c r="A162" s="202" t="s">
        <v>773</v>
      </c>
      <c r="B162" s="79" t="s">
        <v>774</v>
      </c>
      <c r="C162" s="227">
        <f>C166*C165</f>
        <v>3.5750000000000002</v>
      </c>
      <c r="D162" s="203"/>
    </row>
    <row r="163" spans="1:4" ht="15" customHeight="1">
      <c r="A163" s="930" t="s">
        <v>775</v>
      </c>
      <c r="B163" s="931"/>
      <c r="C163" s="931"/>
      <c r="D163" s="931"/>
    </row>
    <row r="164" spans="1:4" ht="15" customHeight="1">
      <c r="A164" s="902" t="s">
        <v>776</v>
      </c>
      <c r="B164" s="903"/>
      <c r="C164" s="903"/>
      <c r="D164" s="904"/>
    </row>
    <row r="165" spans="1:4" ht="15" customHeight="1">
      <c r="A165" s="204" t="s">
        <v>777</v>
      </c>
      <c r="B165" s="61"/>
      <c r="C165" s="76">
        <v>5.5</v>
      </c>
      <c r="D165" s="192" t="s">
        <v>778</v>
      </c>
    </row>
    <row r="166" spans="1:4" ht="15" customHeight="1">
      <c r="A166" s="204" t="s">
        <v>760</v>
      </c>
      <c r="B166" s="75" t="s">
        <v>761</v>
      </c>
      <c r="C166" s="76">
        <v>0.65</v>
      </c>
      <c r="D166" s="192" t="s">
        <v>762</v>
      </c>
    </row>
    <row r="167" spans="1:4" ht="15" customHeight="1">
      <c r="A167" s="912" t="s">
        <v>779</v>
      </c>
      <c r="B167" s="913"/>
      <c r="C167" s="913"/>
      <c r="D167" s="914"/>
    </row>
    <row r="168" spans="1:4" ht="15" customHeight="1">
      <c r="A168" s="188" t="s">
        <v>780</v>
      </c>
      <c r="B168" s="75" t="s">
        <v>781</v>
      </c>
      <c r="C168" s="76">
        <v>0.8</v>
      </c>
      <c r="D168" s="192" t="s">
        <v>762</v>
      </c>
    </row>
    <row r="169" spans="1:4" ht="15" customHeight="1">
      <c r="A169" s="188" t="s">
        <v>782</v>
      </c>
      <c r="B169" s="75" t="s">
        <v>783</v>
      </c>
      <c r="C169" s="234">
        <v>7.6700000000000004E-2</v>
      </c>
      <c r="D169" s="192" t="s">
        <v>762</v>
      </c>
    </row>
    <row r="170" spans="1:4" ht="15" customHeight="1">
      <c r="A170" s="202" t="s">
        <v>784</v>
      </c>
      <c r="B170" s="79" t="s">
        <v>785</v>
      </c>
      <c r="C170" s="80">
        <v>0.04</v>
      </c>
      <c r="D170" s="205" t="s">
        <v>762</v>
      </c>
    </row>
    <row r="171" spans="1:4" ht="15" customHeight="1">
      <c r="A171" s="84"/>
      <c r="B171" s="84"/>
      <c r="C171" s="84"/>
      <c r="D171" s="84"/>
    </row>
    <row r="172" spans="1:4" ht="15" customHeight="1">
      <c r="A172" s="908" t="s">
        <v>786</v>
      </c>
      <c r="B172" s="909"/>
      <c r="C172" s="909"/>
      <c r="D172" s="909"/>
    </row>
    <row r="173" spans="1:4" ht="15" customHeight="1">
      <c r="A173" s="185" t="s">
        <v>787</v>
      </c>
      <c r="B173" s="206" t="s">
        <v>788</v>
      </c>
      <c r="C173" s="231">
        <f>(C152-C153)/C161</f>
        <v>3.7890734265734265</v>
      </c>
      <c r="D173" s="207"/>
    </row>
    <row r="174" spans="1:4" ht="15" customHeight="1">
      <c r="A174" s="188" t="s">
        <v>789</v>
      </c>
      <c r="B174" s="196" t="s">
        <v>790</v>
      </c>
      <c r="C174" s="232">
        <f>(((C152+C153)/(2*(C155))*C169))</f>
        <v>1.4208183333333335</v>
      </c>
      <c r="D174" s="168"/>
    </row>
    <row r="175" spans="1:4" ht="15" customHeight="1">
      <c r="A175" s="188" t="s">
        <v>791</v>
      </c>
      <c r="B175" s="196" t="s">
        <v>792</v>
      </c>
      <c r="C175" s="232">
        <f>((C152-C153)/(2*C155))*C170</f>
        <v>0.60625174825174821</v>
      </c>
      <c r="D175" s="168"/>
    </row>
    <row r="176" spans="1:4" ht="15" customHeight="1">
      <c r="A176" s="202" t="s">
        <v>793</v>
      </c>
      <c r="B176" s="208" t="s">
        <v>794</v>
      </c>
      <c r="C176" s="233">
        <f>C168*C173</f>
        <v>3.0312587412587413</v>
      </c>
      <c r="D176" s="163"/>
    </row>
    <row r="177" spans="1:4" ht="15" customHeight="1">
      <c r="A177" s="873" t="s">
        <v>795</v>
      </c>
      <c r="B177" s="927"/>
      <c r="C177" s="210">
        <f>SUM(C173:C176)</f>
        <v>8.8474022494172502</v>
      </c>
      <c r="D177" s="211"/>
    </row>
    <row r="178" spans="1:4" ht="15" customHeight="1">
      <c r="A178" s="915" t="s">
        <v>796</v>
      </c>
      <c r="B178" s="916"/>
      <c r="C178" s="916"/>
      <c r="D178" s="917"/>
    </row>
    <row r="179" spans="1:4" ht="15" customHeight="1">
      <c r="A179" s="185" t="s">
        <v>797</v>
      </c>
      <c r="B179" s="206" t="s">
        <v>798</v>
      </c>
      <c r="C179" s="186">
        <f>D180*D181</f>
        <v>16.42212</v>
      </c>
      <c r="D179" s="213"/>
    </row>
    <row r="180" spans="1:4" ht="15" customHeight="1">
      <c r="A180" s="67"/>
      <c r="B180" s="195" t="s">
        <v>799</v>
      </c>
      <c r="C180" s="61"/>
      <c r="D180" s="78">
        <f>C156*C162</f>
        <v>0.85799999999999998</v>
      </c>
    </row>
    <row r="181" spans="1:4" ht="15" customHeight="1">
      <c r="A181" s="67"/>
      <c r="B181" s="195" t="s">
        <v>815</v>
      </c>
      <c r="C181" s="61"/>
      <c r="D181" s="78">
        <f>MATERIALES!E18</f>
        <v>19.14</v>
      </c>
    </row>
    <row r="182" spans="1:4" ht="15" customHeight="1">
      <c r="A182" s="188" t="s">
        <v>801</v>
      </c>
      <c r="B182" s="196" t="s">
        <v>802</v>
      </c>
      <c r="C182" s="189">
        <f>((C158*C162)+(D183/D184))*MATERIALES!E183</f>
        <v>10.761583636363637</v>
      </c>
      <c r="D182" s="168"/>
    </row>
    <row r="183" spans="1:4" ht="15" customHeight="1">
      <c r="A183" s="67"/>
      <c r="B183" s="195" t="s">
        <v>803</v>
      </c>
      <c r="C183" s="61"/>
      <c r="D183" s="157">
        <v>2</v>
      </c>
    </row>
    <row r="184" spans="1:4" ht="15" customHeight="1">
      <c r="A184" s="67"/>
      <c r="B184" s="195" t="s">
        <v>804</v>
      </c>
      <c r="C184" s="61"/>
      <c r="D184" s="157">
        <f>(((4*5)+2)*4)*2</f>
        <v>176</v>
      </c>
    </row>
    <row r="185" spans="1:4" ht="15" customHeight="1">
      <c r="A185" s="202" t="s">
        <v>805</v>
      </c>
      <c r="B185" s="208" t="s">
        <v>806</v>
      </c>
      <c r="C185" s="510" t="s">
        <v>816</v>
      </c>
      <c r="D185" s="163"/>
    </row>
    <row r="186" spans="1:4" ht="15" customHeight="1">
      <c r="A186" s="925" t="s">
        <v>807</v>
      </c>
      <c r="B186" s="926"/>
      <c r="C186" s="215">
        <f>SUM(C182+C179)</f>
        <v>27.183703636363639</v>
      </c>
      <c r="D186" s="216"/>
    </row>
    <row r="187" spans="1:4" ht="15" customHeight="1">
      <c r="A187" s="905" t="s">
        <v>808</v>
      </c>
      <c r="B187" s="906"/>
      <c r="C187" s="906"/>
      <c r="D187" s="907"/>
    </row>
    <row r="188" spans="1:4" ht="15" customHeight="1">
      <c r="A188" s="498" t="s">
        <v>809</v>
      </c>
      <c r="B188" s="217" t="s">
        <v>810</v>
      </c>
      <c r="C188" s="218">
        <f t="shared" ref="C188" si="1">450.16/8</f>
        <v>56.27</v>
      </c>
      <c r="D188" s="219"/>
    </row>
    <row r="189" spans="1:4" ht="15" customHeight="1">
      <c r="A189" s="937" t="s">
        <v>811</v>
      </c>
      <c r="B189" s="938"/>
      <c r="C189" s="222">
        <f>SUM(C188)</f>
        <v>56.27</v>
      </c>
      <c r="D189" s="223"/>
    </row>
    <row r="190" spans="1:4" ht="15" customHeight="1">
      <c r="A190" s="224"/>
      <c r="B190" s="84"/>
      <c r="C190" s="84"/>
      <c r="D190" s="219"/>
    </row>
    <row r="191" spans="1:4" ht="15" customHeight="1">
      <c r="A191" s="928" t="s">
        <v>812</v>
      </c>
      <c r="B191" s="929"/>
      <c r="C191" s="225">
        <f>C189+C186+C177</f>
        <v>92.301105885780885</v>
      </c>
      <c r="D191" s="226"/>
    </row>
  </sheetData>
  <mergeCells count="54">
    <mergeCell ref="A186:B186"/>
    <mergeCell ref="A187:D187"/>
    <mergeCell ref="A189:B189"/>
    <mergeCell ref="A191:B191"/>
    <mergeCell ref="A164:D164"/>
    <mergeCell ref="A167:D167"/>
    <mergeCell ref="A172:D172"/>
    <mergeCell ref="A177:B177"/>
    <mergeCell ref="A178:D178"/>
    <mergeCell ref="A145:D145"/>
    <mergeCell ref="B146:D146"/>
    <mergeCell ref="A148:D148"/>
    <mergeCell ref="A160:D160"/>
    <mergeCell ref="A163:D163"/>
    <mergeCell ref="A129:B129"/>
    <mergeCell ref="A138:B138"/>
    <mergeCell ref="A141:B141"/>
    <mergeCell ref="B50:D50"/>
    <mergeCell ref="A81:B81"/>
    <mergeCell ref="A93:B93"/>
    <mergeCell ref="A115:D115"/>
    <mergeCell ref="A95:B95"/>
    <mergeCell ref="A143:B143"/>
    <mergeCell ref="A49:D49"/>
    <mergeCell ref="A19:D19"/>
    <mergeCell ref="A16:D16"/>
    <mergeCell ref="A100:D100"/>
    <mergeCell ref="A82:D82"/>
    <mergeCell ref="A76:D76"/>
    <mergeCell ref="A71:D71"/>
    <mergeCell ref="A91:D91"/>
    <mergeCell ref="A47:B47"/>
    <mergeCell ref="A64:D64"/>
    <mergeCell ref="A52:D52"/>
    <mergeCell ref="A20:D20"/>
    <mergeCell ref="A43:D43"/>
    <mergeCell ref="A112:D112"/>
    <mergeCell ref="A67:D67"/>
    <mergeCell ref="A1:D1"/>
    <mergeCell ref="A116:D116"/>
    <mergeCell ref="A139:D139"/>
    <mergeCell ref="A28:D28"/>
    <mergeCell ref="A97:D97"/>
    <mergeCell ref="A4:D4"/>
    <mergeCell ref="A119:D119"/>
    <mergeCell ref="A130:D130"/>
    <mergeCell ref="B98:D98"/>
    <mergeCell ref="A124:D124"/>
    <mergeCell ref="B2:D2"/>
    <mergeCell ref="A34:D34"/>
    <mergeCell ref="A23:D23"/>
    <mergeCell ref="A68:D68"/>
    <mergeCell ref="A42:B42"/>
    <mergeCell ref="A33:B33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1F14AAA57F46AC9C731804F97F49" ma:contentTypeVersion="7" ma:contentTypeDescription="Crear nuevo documento." ma:contentTypeScope="" ma:versionID="e9cac2924f843df4fc5ae66992381f57">
  <xsd:schema xmlns:xsd="http://www.w3.org/2001/XMLSchema" xmlns:xs="http://www.w3.org/2001/XMLSchema" xmlns:p="http://schemas.microsoft.com/office/2006/metadata/properties" xmlns:ns2="123fc905-64a8-459c-b279-537c9ab903f5" targetNamespace="http://schemas.microsoft.com/office/2006/metadata/properties" ma:root="true" ma:fieldsID="f746090b8cbead12b49b1d4349c7c78c" ns2:_="">
    <xsd:import namespace="123fc905-64a8-459c-b279-537c9ab903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Terminad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fc905-64a8-459c-b279-537c9ab903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Terminado" ma:index="14" nillable="true" ma:displayName="Terminado" ma:default="0" ma:format="Dropdown" ma:internalName="Terminado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rminado xmlns="123fc905-64a8-459c-b279-537c9ab903f5">false</Terminado>
  </documentManagement>
</p:properties>
</file>

<file path=customXml/itemProps1.xml><?xml version="1.0" encoding="utf-8"?>
<ds:datastoreItem xmlns:ds="http://schemas.openxmlformats.org/officeDocument/2006/customXml" ds:itemID="{DF0E0486-CD6F-459D-95B7-691C00694CAC}"/>
</file>

<file path=customXml/itemProps2.xml><?xml version="1.0" encoding="utf-8"?>
<ds:datastoreItem xmlns:ds="http://schemas.openxmlformats.org/officeDocument/2006/customXml" ds:itemID="{AA327D86-0E38-4BE5-A1B1-D1E0B469A70E}"/>
</file>

<file path=customXml/itemProps3.xml><?xml version="1.0" encoding="utf-8"?>
<ds:datastoreItem xmlns:ds="http://schemas.openxmlformats.org/officeDocument/2006/customXml" ds:itemID="{078172EC-67C4-420B-882B-50F2E22BE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P.UNIT</vt:lpstr>
      <vt:lpstr>PRESUPUESTO</vt:lpstr>
      <vt:lpstr>CATÁLOGO</vt:lpstr>
      <vt:lpstr>OPERACIONES</vt:lpstr>
      <vt:lpstr>MATERIALES</vt:lpstr>
      <vt:lpstr>AUXILIARES</vt:lpstr>
      <vt:lpstr>ANÁLISIS CUADRILLAS</vt:lpstr>
      <vt:lpstr>ANÁLISIS DE COSTO 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MARQUEZ VILCHIS MARIA FERNANDA</dc:creator>
  <cp:lastModifiedBy>Melanieht</cp:lastModifiedBy>
  <dcterms:created xsi:type="dcterms:W3CDTF">2018-09-17T20:07:38Z</dcterms:created>
  <dcterms:modified xsi:type="dcterms:W3CDTF">2018-12-02T23:37:59Z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0x010100ADA11F14AAA57F46AC9C731804F97F49</vt:lpwstr>
  </property>
</Properties>
</file>